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hts\conversion\export\"/>
    </mc:Choice>
  </mc:AlternateContent>
  <bookViews>
    <workbookView xWindow="0" yWindow="0" windowWidth="20670" windowHeight="11010"/>
  </bookViews>
  <sheets>
    <sheet name="HS Changes Summary" sheetId="2" r:id="rId1"/>
    <sheet name="HS Changes Detail" sheetId="3" r:id="rId2"/>
    <sheet name="HS Description Change Summary" sheetId="4" r:id="rId3"/>
    <sheet name="HS Description Change Detail" sheetId="5" r:id="rId4"/>
    <sheet name="New Trade Agreements" sheetId="6" r:id="rId5"/>
    <sheet name="Duty Summary by HTS6" sheetId="7" r:id="rId6"/>
    <sheet name="Duty Changes Detail" sheetId="8" r:id="rId7"/>
    <sheet name="Tax Changes" sheetId="9" r:id="rId8"/>
    <sheet name="Applied Tax Summary by HS6" sheetId="10" r:id="rId9"/>
    <sheet name="Applied Tax Changes Detail" sheetId="11" r:id="rId10"/>
    <sheet name="UOM Changes" sheetId="12"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23" i="5" l="1"/>
  <c r="B3022" i="5"/>
  <c r="B3021" i="5"/>
  <c r="B3020" i="5"/>
  <c r="B3019" i="5"/>
  <c r="B3018" i="5"/>
  <c r="B3017" i="5"/>
  <c r="B3016" i="5"/>
  <c r="B3015" i="5"/>
  <c r="B3014" i="5"/>
  <c r="B3013" i="5"/>
  <c r="B3012" i="5"/>
  <c r="B3011" i="5"/>
  <c r="B3010" i="5"/>
  <c r="B3009" i="5"/>
  <c r="B3008" i="5"/>
  <c r="B3007" i="5"/>
  <c r="B3006" i="5"/>
  <c r="B3005" i="5"/>
  <c r="B3004" i="5"/>
  <c r="B3003" i="5"/>
  <c r="B3002" i="5"/>
  <c r="B3001" i="5"/>
  <c r="B3000" i="5"/>
  <c r="B2999" i="5"/>
  <c r="B2998" i="5"/>
  <c r="B2997" i="5"/>
  <c r="B2996" i="5"/>
  <c r="B2995" i="5"/>
  <c r="B2994" i="5"/>
  <c r="B2993" i="5"/>
  <c r="B2992" i="5"/>
  <c r="B2991" i="5"/>
  <c r="B2990" i="5"/>
  <c r="B2989" i="5"/>
  <c r="B2988" i="5"/>
  <c r="B2987" i="5"/>
  <c r="B2986" i="5"/>
  <c r="B2985" i="5"/>
  <c r="B2984" i="5"/>
  <c r="B2983" i="5"/>
  <c r="B2982" i="5"/>
  <c r="B2981" i="5"/>
  <c r="B2980" i="5"/>
  <c r="B2979" i="5"/>
  <c r="B2978" i="5"/>
  <c r="B2977" i="5"/>
  <c r="B2976" i="5"/>
  <c r="B2975" i="5"/>
  <c r="B2974" i="5"/>
  <c r="B2973" i="5"/>
  <c r="B2972" i="5"/>
  <c r="B2971" i="5"/>
  <c r="B2970" i="5"/>
  <c r="B2969" i="5"/>
  <c r="B2968" i="5"/>
  <c r="B2967" i="5"/>
  <c r="B2966" i="5"/>
  <c r="B2965" i="5"/>
  <c r="B2964" i="5"/>
  <c r="B2963" i="5"/>
  <c r="B2962" i="5"/>
  <c r="B2961" i="5"/>
  <c r="B2960" i="5"/>
  <c r="B2959" i="5"/>
  <c r="B2958" i="5"/>
  <c r="B2957" i="5"/>
  <c r="B2956" i="5"/>
  <c r="B2955" i="5"/>
  <c r="B2954" i="5"/>
  <c r="B2953" i="5"/>
  <c r="B2952" i="5"/>
  <c r="B2951" i="5"/>
  <c r="B2950" i="5"/>
  <c r="B2949" i="5"/>
  <c r="B2948" i="5"/>
  <c r="B2947" i="5"/>
  <c r="B2946" i="5"/>
  <c r="B2945" i="5"/>
  <c r="B2944" i="5"/>
  <c r="B2943" i="5"/>
  <c r="B2942" i="5"/>
  <c r="B2941" i="5"/>
  <c r="B2940" i="5"/>
  <c r="B2939" i="5"/>
  <c r="B2938" i="5"/>
  <c r="B2937" i="5"/>
  <c r="B2936" i="5"/>
  <c r="B2935" i="5"/>
  <c r="B2934" i="5"/>
  <c r="B2933" i="5"/>
  <c r="B2932" i="5"/>
  <c r="B2931" i="5"/>
  <c r="B2930" i="5"/>
  <c r="B2929" i="5"/>
  <c r="B2928" i="5"/>
  <c r="B2927" i="5"/>
  <c r="B2926" i="5"/>
  <c r="B2925" i="5"/>
  <c r="B2924" i="5"/>
  <c r="B2923" i="5"/>
  <c r="B2922" i="5"/>
  <c r="B2921" i="5"/>
  <c r="B2920" i="5"/>
  <c r="B2919" i="5"/>
  <c r="B2918" i="5"/>
  <c r="B2917" i="5"/>
  <c r="B2916" i="5"/>
  <c r="B2915" i="5"/>
  <c r="B2914" i="5"/>
  <c r="B2913" i="5"/>
  <c r="B2912" i="5"/>
  <c r="B2911" i="5"/>
  <c r="B2910" i="5"/>
  <c r="B2909" i="5"/>
  <c r="B2908" i="5"/>
  <c r="B2907" i="5"/>
  <c r="B2906" i="5"/>
  <c r="B2905" i="5"/>
  <c r="B2904" i="5"/>
  <c r="B2903" i="5"/>
  <c r="B2902" i="5"/>
  <c r="B2901" i="5"/>
  <c r="B2900" i="5"/>
  <c r="B2899" i="5"/>
  <c r="B2898" i="5"/>
  <c r="B2897" i="5"/>
  <c r="B2896" i="5"/>
  <c r="B2895" i="5"/>
  <c r="B2894" i="5"/>
  <c r="B2893" i="5"/>
  <c r="B2892" i="5"/>
  <c r="B2891" i="5"/>
  <c r="B2890" i="5"/>
  <c r="B2889" i="5"/>
  <c r="B2888" i="5"/>
  <c r="B2887" i="5"/>
  <c r="B2886" i="5"/>
  <c r="B2885" i="5"/>
  <c r="B2884" i="5"/>
  <c r="B2883" i="5"/>
  <c r="B2882" i="5"/>
  <c r="B2881" i="5"/>
  <c r="B2880" i="5"/>
  <c r="B2879" i="5"/>
  <c r="B2878" i="5"/>
  <c r="B2877" i="5"/>
  <c r="B2876" i="5"/>
  <c r="B2875" i="5"/>
  <c r="B2874" i="5"/>
  <c r="B2873" i="5"/>
  <c r="B2872" i="5"/>
  <c r="B2871" i="5"/>
  <c r="B2870" i="5"/>
  <c r="B2869" i="5"/>
  <c r="B2868" i="5"/>
  <c r="B2867" i="5"/>
  <c r="B2866" i="5"/>
  <c r="B2865" i="5"/>
  <c r="B2864" i="5"/>
  <c r="B2863" i="5"/>
  <c r="B2862" i="5"/>
  <c r="B2861" i="5"/>
  <c r="B2860" i="5"/>
  <c r="B2859" i="5"/>
  <c r="B2858" i="5"/>
  <c r="B2857" i="5"/>
  <c r="B2856" i="5"/>
  <c r="B2855" i="5"/>
  <c r="B2854" i="5"/>
  <c r="B2853" i="5"/>
  <c r="B2852" i="5"/>
  <c r="B2851" i="5"/>
  <c r="B2850" i="5"/>
  <c r="B2849" i="5"/>
  <c r="B2848" i="5"/>
  <c r="B2847" i="5"/>
  <c r="B2846" i="5"/>
  <c r="B2845" i="5"/>
  <c r="B2844" i="5"/>
  <c r="B2843" i="5"/>
  <c r="B2842" i="5"/>
  <c r="B2841" i="5"/>
  <c r="B2840" i="5"/>
  <c r="B2839" i="5"/>
  <c r="B2838" i="5"/>
  <c r="B2837" i="5"/>
  <c r="B2836" i="5"/>
  <c r="B2835" i="5"/>
  <c r="B2834" i="5"/>
  <c r="B2833" i="5"/>
  <c r="B2832" i="5"/>
  <c r="B2831" i="5"/>
  <c r="B2830" i="5"/>
  <c r="B2829" i="5"/>
  <c r="B2828" i="5"/>
  <c r="B2827" i="5"/>
  <c r="B2826" i="5"/>
  <c r="B2825" i="5"/>
  <c r="B2824" i="5"/>
  <c r="B2823" i="5"/>
  <c r="B2822" i="5"/>
  <c r="B2821" i="5"/>
  <c r="B2820" i="5"/>
  <c r="B2819" i="5"/>
  <c r="B2818" i="5"/>
  <c r="B2817" i="5"/>
  <c r="B2816" i="5"/>
  <c r="B2815" i="5"/>
  <c r="B2814" i="5"/>
  <c r="B2813" i="5"/>
  <c r="B2812" i="5"/>
  <c r="B2811" i="5"/>
  <c r="B2810" i="5"/>
  <c r="B2809" i="5"/>
  <c r="B2808" i="5"/>
  <c r="B2807" i="5"/>
  <c r="B2806" i="5"/>
  <c r="B2805" i="5"/>
  <c r="B2804" i="5"/>
  <c r="B2803" i="5"/>
  <c r="B2802" i="5"/>
  <c r="B2801" i="5"/>
  <c r="B2800" i="5"/>
  <c r="B2799" i="5"/>
  <c r="B2798" i="5"/>
  <c r="B2797" i="5"/>
  <c r="B2796" i="5"/>
  <c r="B2795" i="5"/>
  <c r="B2794" i="5"/>
  <c r="B2793" i="5"/>
  <c r="B2792" i="5"/>
  <c r="B2791" i="5"/>
  <c r="B2790" i="5"/>
  <c r="B2789" i="5"/>
  <c r="B2788" i="5"/>
  <c r="B2787" i="5"/>
  <c r="B2786" i="5"/>
  <c r="B2785" i="5"/>
  <c r="B2784" i="5"/>
  <c r="B2783" i="5"/>
  <c r="B2782" i="5"/>
  <c r="B2781" i="5"/>
  <c r="B2780" i="5"/>
  <c r="B2779" i="5"/>
  <c r="B2778" i="5"/>
  <c r="B2777" i="5"/>
  <c r="B2776" i="5"/>
  <c r="B2775" i="5"/>
  <c r="B2774" i="5"/>
  <c r="B2773" i="5"/>
  <c r="B2772" i="5"/>
  <c r="B2771" i="5"/>
  <c r="B2770" i="5"/>
  <c r="B2769" i="5"/>
  <c r="B2768" i="5"/>
  <c r="B2767" i="5"/>
  <c r="B2766" i="5"/>
  <c r="B2765" i="5"/>
  <c r="B2764" i="5"/>
  <c r="B2763" i="5"/>
  <c r="B2762" i="5"/>
  <c r="B2761" i="5"/>
  <c r="B2760" i="5"/>
  <c r="B2759" i="5"/>
  <c r="B2758" i="5"/>
  <c r="B2757" i="5"/>
  <c r="B2756" i="5"/>
  <c r="B2755" i="5"/>
  <c r="B2754" i="5"/>
  <c r="B2753" i="5"/>
  <c r="B2752" i="5"/>
  <c r="B2751" i="5"/>
  <c r="B2750" i="5"/>
  <c r="B2749" i="5"/>
  <c r="B2748" i="5"/>
  <c r="B2747" i="5"/>
  <c r="B2746" i="5"/>
  <c r="B2745" i="5"/>
  <c r="B2744" i="5"/>
  <c r="B2743" i="5"/>
  <c r="B2742" i="5"/>
  <c r="B2741" i="5"/>
  <c r="B2740" i="5"/>
  <c r="B2739" i="5"/>
  <c r="B2738" i="5"/>
  <c r="B2737" i="5"/>
  <c r="B2736" i="5"/>
  <c r="B2735" i="5"/>
  <c r="B2734" i="5"/>
  <c r="B2733" i="5"/>
  <c r="B2732" i="5"/>
  <c r="B2731" i="5"/>
  <c r="B2730" i="5"/>
  <c r="B2729" i="5"/>
  <c r="B2728" i="5"/>
  <c r="B2727" i="5"/>
  <c r="B2726" i="5"/>
  <c r="B2725" i="5"/>
  <c r="B2724" i="5"/>
  <c r="B2723" i="5"/>
  <c r="B2722" i="5"/>
  <c r="B2721" i="5"/>
  <c r="B2720" i="5"/>
  <c r="B2719" i="5"/>
  <c r="B2718" i="5"/>
  <c r="B2717" i="5"/>
  <c r="B2716" i="5"/>
  <c r="B2715" i="5"/>
  <c r="B2714" i="5"/>
  <c r="B2713" i="5"/>
  <c r="B2712" i="5"/>
  <c r="B2711" i="5"/>
  <c r="B2710" i="5"/>
  <c r="B2709" i="5"/>
  <c r="B2708" i="5"/>
  <c r="B2707" i="5"/>
  <c r="B2706" i="5"/>
  <c r="B2705" i="5"/>
  <c r="B2704" i="5"/>
  <c r="B2703" i="5"/>
  <c r="B2702" i="5"/>
  <c r="B2701" i="5"/>
  <c r="B2700" i="5"/>
  <c r="B2699" i="5"/>
  <c r="B2698" i="5"/>
  <c r="B2697" i="5"/>
  <c r="B2696" i="5"/>
  <c r="B2695" i="5"/>
  <c r="B2694" i="5"/>
  <c r="B2693" i="5"/>
  <c r="B2692" i="5"/>
  <c r="B2691" i="5"/>
  <c r="B2690" i="5"/>
  <c r="B2689" i="5"/>
  <c r="B2688" i="5"/>
  <c r="B2687" i="5"/>
  <c r="B2686" i="5"/>
  <c r="B2685" i="5"/>
  <c r="B2684" i="5"/>
  <c r="B2683" i="5"/>
  <c r="B2682" i="5"/>
  <c r="B2681" i="5"/>
  <c r="B2680" i="5"/>
  <c r="B2679" i="5"/>
  <c r="B2678" i="5"/>
  <c r="B2677" i="5"/>
  <c r="B2676" i="5"/>
  <c r="B2675" i="5"/>
  <c r="B2674" i="5"/>
  <c r="B2673" i="5"/>
  <c r="B2672" i="5"/>
  <c r="B2671" i="5"/>
  <c r="B2670" i="5"/>
  <c r="B2669" i="5"/>
  <c r="B2668" i="5"/>
  <c r="B2667" i="5"/>
  <c r="B2666" i="5"/>
  <c r="B2665" i="5"/>
  <c r="B2664" i="5"/>
  <c r="B2663" i="5"/>
  <c r="B2662" i="5"/>
  <c r="B2661" i="5"/>
  <c r="B2660" i="5"/>
  <c r="B2659" i="5"/>
  <c r="B2658" i="5"/>
  <c r="B2657" i="5"/>
  <c r="B2656" i="5"/>
  <c r="B2655" i="5"/>
  <c r="B2654" i="5"/>
  <c r="B2653" i="5"/>
  <c r="B2652" i="5"/>
  <c r="B2651" i="5"/>
  <c r="B2650" i="5"/>
  <c r="B2649" i="5"/>
  <c r="B2648" i="5"/>
  <c r="B2647" i="5"/>
  <c r="B2646" i="5"/>
  <c r="B2645" i="5"/>
  <c r="B2644" i="5"/>
  <c r="B2643" i="5"/>
  <c r="B2642" i="5"/>
  <c r="B2641" i="5"/>
  <c r="B2640" i="5"/>
  <c r="B2639" i="5"/>
  <c r="B2638" i="5"/>
  <c r="B2637" i="5"/>
  <c r="B2636" i="5"/>
  <c r="B2635" i="5"/>
  <c r="B2634" i="5"/>
  <c r="B2633" i="5"/>
  <c r="B2632" i="5"/>
  <c r="B2631" i="5"/>
  <c r="B2630" i="5"/>
  <c r="B2629" i="5"/>
  <c r="B2628" i="5"/>
  <c r="B2627" i="5"/>
  <c r="B2626" i="5"/>
  <c r="B2625" i="5"/>
  <c r="B2624" i="5"/>
  <c r="B2623" i="5"/>
  <c r="B2622" i="5"/>
  <c r="B2621" i="5"/>
  <c r="B2620" i="5"/>
  <c r="B2619" i="5"/>
  <c r="B2618" i="5"/>
  <c r="B2617" i="5"/>
  <c r="B2616" i="5"/>
  <c r="B2615" i="5"/>
  <c r="B2614" i="5"/>
  <c r="B2613" i="5"/>
  <c r="B2612" i="5"/>
  <c r="B2611" i="5"/>
  <c r="B2610" i="5"/>
  <c r="B2609" i="5"/>
  <c r="B2608" i="5"/>
  <c r="B2607" i="5"/>
  <c r="B2606" i="5"/>
  <c r="B2605" i="5"/>
  <c r="B2604" i="5"/>
  <c r="B2603" i="5"/>
  <c r="B2602" i="5"/>
  <c r="B2601" i="5"/>
  <c r="B2600" i="5"/>
  <c r="B2599" i="5"/>
  <c r="B2598" i="5"/>
  <c r="B2597" i="5"/>
  <c r="B2596" i="5"/>
  <c r="B2595" i="5"/>
  <c r="B2594" i="5"/>
  <c r="B2593" i="5"/>
  <c r="B2592" i="5"/>
  <c r="B2591" i="5"/>
  <c r="B2590" i="5"/>
  <c r="B2589" i="5"/>
  <c r="B2588" i="5"/>
  <c r="B2587" i="5"/>
  <c r="B2586" i="5"/>
  <c r="B2585" i="5"/>
  <c r="B2584" i="5"/>
  <c r="B2583" i="5"/>
  <c r="B2582" i="5"/>
  <c r="B2581" i="5"/>
  <c r="B2580" i="5"/>
  <c r="B2579" i="5"/>
  <c r="B2578" i="5"/>
  <c r="B2577" i="5"/>
  <c r="B2576" i="5"/>
  <c r="B2575" i="5"/>
  <c r="B2574" i="5"/>
  <c r="B2573" i="5"/>
  <c r="B2572" i="5"/>
  <c r="B2571" i="5"/>
  <c r="B2570" i="5"/>
  <c r="B2569" i="5"/>
  <c r="B2568" i="5"/>
  <c r="B2567" i="5"/>
  <c r="B2566" i="5"/>
  <c r="B2565" i="5"/>
  <c r="B2564" i="5"/>
  <c r="B2563" i="5"/>
  <c r="B2562" i="5"/>
  <c r="B2561" i="5"/>
  <c r="B2560" i="5"/>
  <c r="B2559" i="5"/>
  <c r="B2558" i="5"/>
  <c r="B2557" i="5"/>
  <c r="B2556" i="5"/>
  <c r="B2555" i="5"/>
  <c r="B2554" i="5"/>
  <c r="B2553" i="5"/>
  <c r="B2552" i="5"/>
  <c r="B2551" i="5"/>
  <c r="B2550" i="5"/>
  <c r="B2549" i="5"/>
  <c r="B2548" i="5"/>
  <c r="B2547" i="5"/>
  <c r="B2546" i="5"/>
  <c r="B2545" i="5"/>
  <c r="B2544" i="5"/>
  <c r="B2543" i="5"/>
  <c r="B2542" i="5"/>
  <c r="B2541" i="5"/>
  <c r="B2540" i="5"/>
  <c r="B2539" i="5"/>
  <c r="B2538" i="5"/>
  <c r="B2537" i="5"/>
  <c r="B2536" i="5"/>
  <c r="B2535" i="5"/>
  <c r="B2534" i="5"/>
  <c r="B2533" i="5"/>
  <c r="B2532" i="5"/>
  <c r="B2531" i="5"/>
  <c r="B2530" i="5"/>
  <c r="B2529" i="5"/>
  <c r="B2528" i="5"/>
  <c r="B2527" i="5"/>
  <c r="B2526" i="5"/>
  <c r="B2525" i="5"/>
  <c r="B2524" i="5"/>
  <c r="B2523" i="5"/>
  <c r="B2522" i="5"/>
  <c r="B2521" i="5"/>
  <c r="B2520" i="5"/>
  <c r="B2519" i="5"/>
  <c r="B2518" i="5"/>
  <c r="B2517" i="5"/>
  <c r="B2516" i="5"/>
  <c r="B2515" i="5"/>
  <c r="B2514" i="5"/>
  <c r="B2513" i="5"/>
  <c r="B2512" i="5"/>
  <c r="B2511" i="5"/>
  <c r="B2510" i="5"/>
  <c r="B2509" i="5"/>
  <c r="B2508" i="5"/>
  <c r="B2507" i="5"/>
  <c r="B2506" i="5"/>
  <c r="B2505" i="5"/>
  <c r="B2504" i="5"/>
  <c r="B2503" i="5"/>
  <c r="B2502" i="5"/>
  <c r="B2501" i="5"/>
  <c r="B2500" i="5"/>
  <c r="B2499" i="5"/>
  <c r="B2498" i="5"/>
  <c r="B2497" i="5"/>
  <c r="B2496" i="5"/>
  <c r="B2495" i="5"/>
  <c r="B2494" i="5"/>
  <c r="B2493" i="5"/>
  <c r="B2492" i="5"/>
  <c r="B2491" i="5"/>
  <c r="B2490" i="5"/>
  <c r="B2489" i="5"/>
  <c r="B2488" i="5"/>
  <c r="B2487" i="5"/>
  <c r="B2486" i="5"/>
  <c r="B2485" i="5"/>
  <c r="B2484" i="5"/>
  <c r="B2483" i="5"/>
  <c r="B2482" i="5"/>
  <c r="B2481" i="5"/>
  <c r="B2480" i="5"/>
  <c r="B2479" i="5"/>
  <c r="B2478" i="5"/>
  <c r="B2477" i="5"/>
  <c r="B2476" i="5"/>
  <c r="B2475" i="5"/>
  <c r="B2474" i="5"/>
  <c r="B2473" i="5"/>
  <c r="B2472" i="5"/>
  <c r="B2471" i="5"/>
  <c r="B2470" i="5"/>
  <c r="B2469" i="5"/>
  <c r="B2468" i="5"/>
  <c r="B2467" i="5"/>
  <c r="B2466" i="5"/>
  <c r="B2465" i="5"/>
  <c r="B2464" i="5"/>
  <c r="B2463" i="5"/>
  <c r="B2462" i="5"/>
  <c r="B2461" i="5"/>
  <c r="B2460" i="5"/>
  <c r="B2459" i="5"/>
  <c r="B2458" i="5"/>
  <c r="B2457" i="5"/>
  <c r="B2456" i="5"/>
  <c r="B2455" i="5"/>
  <c r="B2454" i="5"/>
  <c r="B2453" i="5"/>
  <c r="B2452" i="5"/>
  <c r="B2451" i="5"/>
  <c r="B2450" i="5"/>
  <c r="B2449" i="5"/>
  <c r="B2448" i="5"/>
  <c r="B2447" i="5"/>
  <c r="B2446" i="5"/>
  <c r="B2445" i="5"/>
  <c r="B2444" i="5"/>
  <c r="B2443" i="5"/>
  <c r="B2442" i="5"/>
  <c r="B2441" i="5"/>
  <c r="B2440" i="5"/>
  <c r="B2439" i="5"/>
  <c r="B2438" i="5"/>
  <c r="B2437" i="5"/>
  <c r="B2436" i="5"/>
  <c r="B2435" i="5"/>
  <c r="B2434" i="5"/>
  <c r="B2433" i="5"/>
  <c r="B2432" i="5"/>
  <c r="B2431" i="5"/>
  <c r="B2430" i="5"/>
  <c r="B2429" i="5"/>
  <c r="B2428" i="5"/>
  <c r="B2427" i="5"/>
  <c r="B2426" i="5"/>
  <c r="B2425" i="5"/>
  <c r="B2424" i="5"/>
  <c r="B2423" i="5"/>
  <c r="B2422" i="5"/>
  <c r="B2421" i="5"/>
  <c r="B2420" i="5"/>
  <c r="B2419" i="5"/>
  <c r="B2418" i="5"/>
  <c r="B2417" i="5"/>
  <c r="B2416" i="5"/>
  <c r="B2415" i="5"/>
  <c r="B2414" i="5"/>
  <c r="B2413" i="5"/>
  <c r="B2412" i="5"/>
  <c r="B2411" i="5"/>
  <c r="B2410" i="5"/>
  <c r="B2409" i="5"/>
  <c r="B2408" i="5"/>
  <c r="B2407" i="5"/>
  <c r="B2406" i="5"/>
  <c r="B2405" i="5"/>
  <c r="B2404" i="5"/>
  <c r="B2403" i="5"/>
  <c r="B2402" i="5"/>
  <c r="B2401" i="5"/>
  <c r="B2400" i="5"/>
  <c r="B2399" i="5"/>
  <c r="B2398" i="5"/>
  <c r="B2397" i="5"/>
  <c r="B2396" i="5"/>
  <c r="B2395" i="5"/>
  <c r="B2394" i="5"/>
  <c r="B2393" i="5"/>
  <c r="B2392" i="5"/>
  <c r="B2391" i="5"/>
  <c r="B2390" i="5"/>
  <c r="B2389" i="5"/>
  <c r="B2388" i="5"/>
  <c r="B2387" i="5"/>
  <c r="B2386" i="5"/>
  <c r="B2385" i="5"/>
  <c r="B2384" i="5"/>
  <c r="B2383" i="5"/>
  <c r="B2382" i="5"/>
  <c r="B2381" i="5"/>
  <c r="B2380" i="5"/>
  <c r="B2379" i="5"/>
  <c r="B2378" i="5"/>
  <c r="B2377" i="5"/>
  <c r="B2376" i="5"/>
  <c r="B2375" i="5"/>
  <c r="B2374" i="5"/>
  <c r="B2373" i="5"/>
  <c r="B2372" i="5"/>
  <c r="B2371" i="5"/>
  <c r="B2370" i="5"/>
  <c r="B2369" i="5"/>
  <c r="B2368" i="5"/>
  <c r="B2367" i="5"/>
  <c r="B2366" i="5"/>
  <c r="B2365" i="5"/>
  <c r="B2364" i="5"/>
  <c r="B2363" i="5"/>
  <c r="B2362" i="5"/>
  <c r="B2361" i="5"/>
  <c r="B2360" i="5"/>
  <c r="B2359" i="5"/>
  <c r="B2358" i="5"/>
  <c r="B2357" i="5"/>
  <c r="B2356" i="5"/>
  <c r="B2355" i="5"/>
  <c r="B2354" i="5"/>
  <c r="B2353" i="5"/>
  <c r="B2352" i="5"/>
  <c r="B2351" i="5"/>
  <c r="B2350" i="5"/>
  <c r="B2349" i="5"/>
  <c r="B2348" i="5"/>
  <c r="B2347" i="5"/>
  <c r="B2346" i="5"/>
  <c r="B2345" i="5"/>
  <c r="B2344" i="5"/>
  <c r="B2343" i="5"/>
  <c r="B2342" i="5"/>
  <c r="B2341" i="5"/>
  <c r="B2340" i="5"/>
  <c r="B2339" i="5"/>
  <c r="B2338" i="5"/>
  <c r="B2337" i="5"/>
  <c r="B2336" i="5"/>
  <c r="B2335" i="5"/>
  <c r="B2334" i="5"/>
  <c r="B2333" i="5"/>
  <c r="B2332" i="5"/>
  <c r="B2331" i="5"/>
  <c r="B2330" i="5"/>
  <c r="B2329" i="5"/>
  <c r="B2328" i="5"/>
  <c r="B2327" i="5"/>
  <c r="B2326" i="5"/>
  <c r="B2325" i="5"/>
  <c r="B2324" i="5"/>
  <c r="B2323" i="5"/>
  <c r="B2322" i="5"/>
  <c r="B2321" i="5"/>
  <c r="B2320" i="5"/>
  <c r="B2319" i="5"/>
  <c r="B2318" i="5"/>
  <c r="B2317" i="5"/>
  <c r="B2316" i="5"/>
  <c r="B2315" i="5"/>
  <c r="B2314" i="5"/>
  <c r="B2313" i="5"/>
  <c r="B2312" i="5"/>
  <c r="B2311" i="5"/>
  <c r="B2310" i="5"/>
  <c r="B2309" i="5"/>
  <c r="B2308" i="5"/>
  <c r="B2307" i="5"/>
  <c r="B2306" i="5"/>
  <c r="B2305" i="5"/>
  <c r="B2304" i="5"/>
  <c r="B2303" i="5"/>
  <c r="B2302" i="5"/>
  <c r="B2301" i="5"/>
  <c r="B2300" i="5"/>
  <c r="B2299" i="5"/>
  <c r="B2298" i="5"/>
  <c r="B2297" i="5"/>
  <c r="B2296" i="5"/>
  <c r="B2295" i="5"/>
  <c r="B2294" i="5"/>
  <c r="B2293" i="5"/>
  <c r="B2292" i="5"/>
  <c r="B2291" i="5"/>
  <c r="B2290" i="5"/>
  <c r="B2289" i="5"/>
  <c r="B2288" i="5"/>
  <c r="B2287" i="5"/>
  <c r="B2286" i="5"/>
  <c r="B2285" i="5"/>
  <c r="B2284" i="5"/>
  <c r="B2283" i="5"/>
  <c r="B2282" i="5"/>
  <c r="B2281" i="5"/>
  <c r="B2280" i="5"/>
  <c r="B2279" i="5"/>
  <c r="B2278" i="5"/>
  <c r="B2277" i="5"/>
  <c r="B2276" i="5"/>
  <c r="B2275" i="5"/>
  <c r="B2274" i="5"/>
  <c r="B2273" i="5"/>
  <c r="B2272" i="5"/>
  <c r="B2271" i="5"/>
  <c r="B2270" i="5"/>
  <c r="B2269" i="5"/>
  <c r="B2268" i="5"/>
  <c r="B2267" i="5"/>
  <c r="B2266" i="5"/>
  <c r="B2265" i="5"/>
  <c r="B2264" i="5"/>
  <c r="B2263" i="5"/>
  <c r="B2262" i="5"/>
  <c r="B2261" i="5"/>
  <c r="B2260" i="5"/>
  <c r="B2259" i="5"/>
  <c r="B2258" i="5"/>
  <c r="B2257" i="5"/>
  <c r="B2256" i="5"/>
  <c r="B2255" i="5"/>
  <c r="B2254" i="5"/>
  <c r="B2253" i="5"/>
  <c r="B2252" i="5"/>
  <c r="B2251" i="5"/>
  <c r="B2250" i="5"/>
  <c r="B2249" i="5"/>
  <c r="B2248" i="5"/>
  <c r="B2247" i="5"/>
  <c r="B2246" i="5"/>
  <c r="B2245" i="5"/>
  <c r="B2244" i="5"/>
  <c r="B2243" i="5"/>
  <c r="B2242" i="5"/>
  <c r="B2241" i="5"/>
  <c r="B2240" i="5"/>
  <c r="B2239" i="5"/>
  <c r="B2238" i="5"/>
  <c r="B2237" i="5"/>
  <c r="B2236" i="5"/>
  <c r="B2235" i="5"/>
  <c r="B2234" i="5"/>
  <c r="B2233" i="5"/>
  <c r="B2232" i="5"/>
  <c r="B2231" i="5"/>
  <c r="B2230" i="5"/>
  <c r="B2229" i="5"/>
  <c r="B2228" i="5"/>
  <c r="B2227" i="5"/>
  <c r="B2226" i="5"/>
  <c r="B2225" i="5"/>
  <c r="B2224" i="5"/>
  <c r="B2223" i="5"/>
  <c r="B2222" i="5"/>
  <c r="B2221" i="5"/>
  <c r="B2220" i="5"/>
  <c r="B2219" i="5"/>
  <c r="B2218" i="5"/>
  <c r="B2217" i="5"/>
  <c r="B2216" i="5"/>
  <c r="B2215" i="5"/>
  <c r="B2214" i="5"/>
  <c r="B2213" i="5"/>
  <c r="B2212" i="5"/>
  <c r="B2211" i="5"/>
  <c r="B2210" i="5"/>
  <c r="B2209" i="5"/>
  <c r="B2208" i="5"/>
  <c r="B2207" i="5"/>
  <c r="B2206" i="5"/>
  <c r="B2205" i="5"/>
  <c r="B2204" i="5"/>
  <c r="B2203" i="5"/>
  <c r="B2202" i="5"/>
  <c r="B2201" i="5"/>
  <c r="B2200" i="5"/>
  <c r="B2199" i="5"/>
  <c r="B2198" i="5"/>
  <c r="B2197" i="5"/>
  <c r="B2196" i="5"/>
  <c r="B2195" i="5"/>
  <c r="B2194" i="5"/>
  <c r="B2193" i="5"/>
  <c r="B2192" i="5"/>
  <c r="B2191" i="5"/>
  <c r="B2190" i="5"/>
  <c r="B2189" i="5"/>
  <c r="B2188" i="5"/>
  <c r="B2187" i="5"/>
  <c r="B2186" i="5"/>
  <c r="B2185" i="5"/>
  <c r="B2184" i="5"/>
  <c r="B2183" i="5"/>
  <c r="B2182" i="5"/>
  <c r="B2181" i="5"/>
  <c r="B2180" i="5"/>
  <c r="B2179" i="5"/>
  <c r="B2178" i="5"/>
  <c r="B2177" i="5"/>
  <c r="B2176" i="5"/>
  <c r="B2175" i="5"/>
  <c r="B2174" i="5"/>
  <c r="B2173" i="5"/>
  <c r="B2172" i="5"/>
  <c r="B2171" i="5"/>
  <c r="B2170" i="5"/>
  <c r="B2169" i="5"/>
  <c r="B2168" i="5"/>
  <c r="B2167" i="5"/>
  <c r="B2166" i="5"/>
  <c r="B2165" i="5"/>
  <c r="B2164" i="5"/>
  <c r="B2163" i="5"/>
  <c r="B2162" i="5"/>
  <c r="B2161" i="5"/>
  <c r="B2160" i="5"/>
  <c r="B2159" i="5"/>
  <c r="B2158" i="5"/>
  <c r="B2157" i="5"/>
  <c r="B2156" i="5"/>
  <c r="B2155" i="5"/>
  <c r="B2154" i="5"/>
  <c r="B2153" i="5"/>
  <c r="B2152" i="5"/>
  <c r="B2151" i="5"/>
  <c r="B2150" i="5"/>
  <c r="B2149" i="5"/>
  <c r="B2148" i="5"/>
  <c r="B2147" i="5"/>
  <c r="B2146" i="5"/>
  <c r="B2145" i="5"/>
  <c r="B2144" i="5"/>
  <c r="B2143" i="5"/>
  <c r="B2142" i="5"/>
  <c r="B2141" i="5"/>
  <c r="B2140" i="5"/>
  <c r="B2139" i="5"/>
  <c r="B2138" i="5"/>
  <c r="B2137" i="5"/>
  <c r="B2136" i="5"/>
  <c r="B2135" i="5"/>
  <c r="B2134" i="5"/>
  <c r="B2133" i="5"/>
  <c r="B2132" i="5"/>
  <c r="B2131" i="5"/>
  <c r="B2130" i="5"/>
  <c r="B2129" i="5"/>
  <c r="B2128" i="5"/>
  <c r="B2127" i="5"/>
  <c r="B2126" i="5"/>
  <c r="B2125" i="5"/>
  <c r="B2124" i="5"/>
  <c r="B2123" i="5"/>
  <c r="B2122" i="5"/>
  <c r="B2121" i="5"/>
  <c r="B2120" i="5"/>
  <c r="B2119" i="5"/>
  <c r="B2118" i="5"/>
  <c r="B2117" i="5"/>
  <c r="B2116" i="5"/>
  <c r="B2115" i="5"/>
  <c r="B2114" i="5"/>
  <c r="B2113" i="5"/>
  <c r="B2112" i="5"/>
  <c r="B2111" i="5"/>
  <c r="B2110" i="5"/>
  <c r="B2109" i="5"/>
  <c r="B2108" i="5"/>
  <c r="B2107" i="5"/>
  <c r="B2106" i="5"/>
  <c r="B2105" i="5"/>
  <c r="B2104" i="5"/>
  <c r="B2103" i="5"/>
  <c r="B2102" i="5"/>
  <c r="B2101" i="5"/>
  <c r="B2100" i="5"/>
  <c r="B2099" i="5"/>
  <c r="B2098" i="5"/>
  <c r="B2097" i="5"/>
  <c r="B2096" i="5"/>
  <c r="B2095" i="5"/>
  <c r="B2094" i="5"/>
  <c r="B2093" i="5"/>
  <c r="B2092" i="5"/>
  <c r="B2091" i="5"/>
  <c r="B2090" i="5"/>
  <c r="B2089" i="5"/>
  <c r="B2088" i="5"/>
  <c r="B2087" i="5"/>
  <c r="B2086" i="5"/>
  <c r="B2085" i="5"/>
  <c r="B2084" i="5"/>
  <c r="B2083" i="5"/>
  <c r="B2082" i="5"/>
  <c r="B2081" i="5"/>
  <c r="B2080" i="5"/>
  <c r="B2079" i="5"/>
  <c r="B2078" i="5"/>
  <c r="B2077" i="5"/>
  <c r="B2076" i="5"/>
  <c r="B2075" i="5"/>
  <c r="B2074" i="5"/>
  <c r="B2073" i="5"/>
  <c r="B2072" i="5"/>
  <c r="B2071" i="5"/>
  <c r="B2070" i="5"/>
  <c r="B2069" i="5"/>
  <c r="B2068" i="5"/>
  <c r="B2067" i="5"/>
  <c r="B2066" i="5"/>
  <c r="B2065" i="5"/>
  <c r="B2064" i="5"/>
  <c r="B2063" i="5"/>
  <c r="B2062" i="5"/>
  <c r="B2061" i="5"/>
  <c r="B2060" i="5"/>
  <c r="B2059" i="5"/>
  <c r="B2058" i="5"/>
  <c r="B2057" i="5"/>
  <c r="B2056" i="5"/>
  <c r="B2055" i="5"/>
  <c r="B2054" i="5"/>
  <c r="B2053" i="5"/>
  <c r="B2052" i="5"/>
  <c r="B2051" i="5"/>
  <c r="B2050" i="5"/>
  <c r="B2049" i="5"/>
  <c r="B2048" i="5"/>
  <c r="B2047" i="5"/>
  <c r="B2046" i="5"/>
  <c r="B2045" i="5"/>
  <c r="B2044" i="5"/>
  <c r="B2043" i="5"/>
  <c r="B2042" i="5"/>
  <c r="B2041" i="5"/>
  <c r="B2040" i="5"/>
  <c r="B2039" i="5"/>
  <c r="B2038" i="5"/>
  <c r="B2037" i="5"/>
  <c r="B2036" i="5"/>
  <c r="B2035" i="5"/>
  <c r="B2034" i="5"/>
  <c r="B2033" i="5"/>
  <c r="B2032" i="5"/>
  <c r="B2031" i="5"/>
  <c r="B2030" i="5"/>
  <c r="B2029" i="5"/>
  <c r="B2028" i="5"/>
  <c r="B2027" i="5"/>
  <c r="B2026" i="5"/>
  <c r="B2025" i="5"/>
  <c r="B2024" i="5"/>
  <c r="B2023" i="5"/>
  <c r="B2022" i="5"/>
  <c r="B2021" i="5"/>
  <c r="B2020" i="5"/>
  <c r="B2019" i="5"/>
  <c r="B2018" i="5"/>
  <c r="B2017" i="5"/>
  <c r="B2016" i="5"/>
  <c r="B2015" i="5"/>
  <c r="B2014" i="5"/>
  <c r="B2013" i="5"/>
  <c r="B2012" i="5"/>
  <c r="B2011" i="5"/>
  <c r="B2010" i="5"/>
  <c r="B2009" i="5"/>
  <c r="B2008" i="5"/>
  <c r="B2007" i="5"/>
  <c r="B2006" i="5"/>
  <c r="B2005" i="5"/>
  <c r="B2004" i="5"/>
  <c r="B2003" i="5"/>
  <c r="B2002" i="5"/>
  <c r="B2001" i="5"/>
  <c r="B2000" i="5"/>
  <c r="B1999" i="5"/>
  <c r="B1998" i="5"/>
  <c r="B1997" i="5"/>
  <c r="B1996" i="5"/>
  <c r="B1995" i="5"/>
  <c r="B1994" i="5"/>
  <c r="B1993" i="5"/>
  <c r="B1992" i="5"/>
  <c r="B1991" i="5"/>
  <c r="B1990" i="5"/>
  <c r="B1989" i="5"/>
  <c r="B1988" i="5"/>
  <c r="B1987" i="5"/>
  <c r="B1986" i="5"/>
  <c r="B1985" i="5"/>
  <c r="B1984" i="5"/>
  <c r="B1983" i="5"/>
  <c r="B1982" i="5"/>
  <c r="B1981" i="5"/>
  <c r="B1980" i="5"/>
  <c r="B1979" i="5"/>
  <c r="B1978" i="5"/>
  <c r="B1977" i="5"/>
  <c r="B1976" i="5"/>
  <c r="B1975" i="5"/>
  <c r="B1974" i="5"/>
  <c r="B1973" i="5"/>
  <c r="B1972" i="5"/>
  <c r="B1971" i="5"/>
  <c r="B1970" i="5"/>
  <c r="B1969" i="5"/>
  <c r="B1968" i="5"/>
  <c r="B1967" i="5"/>
  <c r="B1966" i="5"/>
  <c r="B1965" i="5"/>
  <c r="B1964" i="5"/>
  <c r="B1963" i="5"/>
  <c r="B1962" i="5"/>
  <c r="B1961" i="5"/>
  <c r="B1960" i="5"/>
  <c r="B1959" i="5"/>
  <c r="B1958" i="5"/>
  <c r="B1957" i="5"/>
  <c r="B1956" i="5"/>
  <c r="B1955" i="5"/>
  <c r="B1954" i="5"/>
  <c r="B1953" i="5"/>
  <c r="B1952" i="5"/>
  <c r="B1951" i="5"/>
  <c r="B1950" i="5"/>
  <c r="B1949" i="5"/>
  <c r="B1948" i="5"/>
  <c r="B1947" i="5"/>
  <c r="B1946" i="5"/>
  <c r="B1945" i="5"/>
  <c r="B1944" i="5"/>
  <c r="B1943" i="5"/>
  <c r="B1942" i="5"/>
  <c r="B1941" i="5"/>
  <c r="B1940" i="5"/>
  <c r="B1939" i="5"/>
  <c r="B1938" i="5"/>
  <c r="B1937" i="5"/>
  <c r="B1936" i="5"/>
  <c r="B1935" i="5"/>
  <c r="B1934" i="5"/>
  <c r="B1933" i="5"/>
  <c r="B1932" i="5"/>
  <c r="B1931" i="5"/>
  <c r="B1930" i="5"/>
  <c r="B1929" i="5"/>
  <c r="B1928" i="5"/>
  <c r="B1927" i="5"/>
  <c r="B1926" i="5"/>
  <c r="B1925" i="5"/>
  <c r="B1924" i="5"/>
  <c r="B1923" i="5"/>
  <c r="B1922" i="5"/>
  <c r="B1921" i="5"/>
  <c r="B1920" i="5"/>
  <c r="B1919" i="5"/>
  <c r="B1918" i="5"/>
  <c r="B1917" i="5"/>
  <c r="B1916" i="5"/>
  <c r="B1915" i="5"/>
  <c r="B1914" i="5"/>
  <c r="B1913" i="5"/>
  <c r="B1912" i="5"/>
  <c r="B1911" i="5"/>
  <c r="B1910" i="5"/>
  <c r="B1909" i="5"/>
  <c r="B1908" i="5"/>
  <c r="B1907" i="5"/>
  <c r="B1906" i="5"/>
  <c r="B1905" i="5"/>
  <c r="B1904" i="5"/>
  <c r="B1903" i="5"/>
  <c r="B1902" i="5"/>
  <c r="B1901" i="5"/>
  <c r="B1900" i="5"/>
  <c r="B1899" i="5"/>
  <c r="B1898" i="5"/>
  <c r="B1897" i="5"/>
  <c r="B1896" i="5"/>
  <c r="B1895" i="5"/>
  <c r="B1894" i="5"/>
  <c r="B1893" i="5"/>
  <c r="B1892" i="5"/>
  <c r="B1891" i="5"/>
  <c r="B1890" i="5"/>
  <c r="B1889" i="5"/>
  <c r="B1888" i="5"/>
  <c r="B1887" i="5"/>
  <c r="B1886" i="5"/>
  <c r="B1885" i="5"/>
  <c r="B1884" i="5"/>
  <c r="B1883" i="5"/>
  <c r="B1882" i="5"/>
  <c r="B1881" i="5"/>
  <c r="B1880" i="5"/>
  <c r="B1879" i="5"/>
  <c r="B1878" i="5"/>
  <c r="B1877" i="5"/>
  <c r="B1876" i="5"/>
  <c r="B1875" i="5"/>
  <c r="B1874" i="5"/>
  <c r="B1873" i="5"/>
  <c r="B1872" i="5"/>
  <c r="B1871" i="5"/>
  <c r="B1870" i="5"/>
  <c r="B1869" i="5"/>
  <c r="B1868" i="5"/>
  <c r="B1867" i="5"/>
  <c r="B1866" i="5"/>
  <c r="B1865" i="5"/>
  <c r="B1864" i="5"/>
  <c r="B1863" i="5"/>
  <c r="B1862" i="5"/>
  <c r="B1861" i="5"/>
  <c r="B1860" i="5"/>
  <c r="B1859" i="5"/>
  <c r="B1858" i="5"/>
  <c r="B1857" i="5"/>
  <c r="B1856" i="5"/>
  <c r="B1855" i="5"/>
  <c r="B1854" i="5"/>
  <c r="B1853" i="5"/>
  <c r="B1852" i="5"/>
  <c r="B1851" i="5"/>
  <c r="B1850" i="5"/>
  <c r="B1849" i="5"/>
  <c r="B1848" i="5"/>
  <c r="B1847" i="5"/>
  <c r="B1846" i="5"/>
  <c r="B1845" i="5"/>
  <c r="B1844" i="5"/>
  <c r="B1843" i="5"/>
  <c r="B1842" i="5"/>
  <c r="B1841" i="5"/>
  <c r="B1840" i="5"/>
  <c r="B1839" i="5"/>
  <c r="B1838" i="5"/>
  <c r="B1837" i="5"/>
  <c r="B1836" i="5"/>
  <c r="B1835" i="5"/>
  <c r="B1834" i="5"/>
  <c r="B1833" i="5"/>
  <c r="B1832" i="5"/>
  <c r="B1831" i="5"/>
  <c r="B1830" i="5"/>
  <c r="B1829" i="5"/>
  <c r="B1828" i="5"/>
  <c r="B1827" i="5"/>
  <c r="B1826" i="5"/>
  <c r="B1825" i="5"/>
  <c r="B1824" i="5"/>
  <c r="B1823" i="5"/>
  <c r="B1822" i="5"/>
  <c r="B1821" i="5"/>
  <c r="B1820" i="5"/>
  <c r="B1819" i="5"/>
  <c r="B1818" i="5"/>
  <c r="B1817" i="5"/>
  <c r="B1816" i="5"/>
  <c r="B1815" i="5"/>
  <c r="B1814" i="5"/>
  <c r="B1813" i="5"/>
  <c r="B1812" i="5"/>
  <c r="B1811" i="5"/>
  <c r="B1810" i="5"/>
  <c r="B1809" i="5"/>
  <c r="B1808" i="5"/>
  <c r="B1807" i="5"/>
  <c r="B1806" i="5"/>
  <c r="B1805" i="5"/>
  <c r="B1804" i="5"/>
  <c r="B1803" i="5"/>
  <c r="B1802" i="5"/>
  <c r="B1801" i="5"/>
  <c r="B1800" i="5"/>
  <c r="B1799" i="5"/>
  <c r="B1798" i="5"/>
  <c r="B1797" i="5"/>
  <c r="B1796" i="5"/>
  <c r="B1795" i="5"/>
  <c r="B1794" i="5"/>
  <c r="B1793" i="5"/>
  <c r="B1792" i="5"/>
  <c r="B1791" i="5"/>
  <c r="B1790" i="5"/>
  <c r="B1789" i="5"/>
  <c r="B1788" i="5"/>
  <c r="B1787" i="5"/>
  <c r="B1786" i="5"/>
  <c r="B1785" i="5"/>
  <c r="B1784" i="5"/>
  <c r="B1783" i="5"/>
  <c r="B1782" i="5"/>
  <c r="B1781" i="5"/>
  <c r="B1780" i="5"/>
  <c r="B1779" i="5"/>
  <c r="B1778" i="5"/>
  <c r="B1777" i="5"/>
  <c r="B1776" i="5"/>
  <c r="B1775" i="5"/>
  <c r="B1774" i="5"/>
  <c r="B1773" i="5"/>
  <c r="B1772" i="5"/>
  <c r="B1771" i="5"/>
  <c r="B1770" i="5"/>
  <c r="B1769" i="5"/>
  <c r="B1768" i="5"/>
  <c r="B1767" i="5"/>
  <c r="B1766" i="5"/>
  <c r="B1765" i="5"/>
  <c r="B1764" i="5"/>
  <c r="B1763" i="5"/>
  <c r="B1762" i="5"/>
  <c r="B1761" i="5"/>
  <c r="B1760" i="5"/>
  <c r="B1759" i="5"/>
  <c r="B1758" i="5"/>
  <c r="B1757" i="5"/>
  <c r="B1756" i="5"/>
  <c r="B1755" i="5"/>
  <c r="B1754" i="5"/>
  <c r="B1753" i="5"/>
  <c r="B1752" i="5"/>
  <c r="B1751" i="5"/>
  <c r="B1750" i="5"/>
  <c r="B1749" i="5"/>
  <c r="B1748" i="5"/>
  <c r="B1747" i="5"/>
  <c r="B1746" i="5"/>
  <c r="B1745" i="5"/>
  <c r="B1744" i="5"/>
  <c r="B1743" i="5"/>
  <c r="B1742" i="5"/>
  <c r="B1741" i="5"/>
  <c r="B1740" i="5"/>
  <c r="B1739" i="5"/>
  <c r="B1738" i="5"/>
  <c r="B1737" i="5"/>
  <c r="B1736" i="5"/>
  <c r="B1735" i="5"/>
  <c r="B1734" i="5"/>
  <c r="B1733" i="5"/>
  <c r="B1732" i="5"/>
  <c r="B1731" i="5"/>
  <c r="B1730" i="5"/>
  <c r="B1729" i="5"/>
  <c r="B1728" i="5"/>
  <c r="B1727" i="5"/>
  <c r="B1726" i="5"/>
  <c r="B1725" i="5"/>
  <c r="B1724" i="5"/>
  <c r="B1723" i="5"/>
  <c r="B1722" i="5"/>
  <c r="B1721" i="5"/>
  <c r="B1720" i="5"/>
  <c r="B1719" i="5"/>
  <c r="B1718" i="5"/>
  <c r="B1717" i="5"/>
  <c r="B1716" i="5"/>
  <c r="B1715" i="5"/>
  <c r="B1714" i="5"/>
  <c r="B1713" i="5"/>
  <c r="B1712" i="5"/>
  <c r="B1711" i="5"/>
  <c r="B1710" i="5"/>
  <c r="B1709" i="5"/>
  <c r="B1708" i="5"/>
  <c r="B1707" i="5"/>
  <c r="B1706" i="5"/>
  <c r="B1705" i="5"/>
  <c r="B1704" i="5"/>
  <c r="B1703" i="5"/>
  <c r="B1702" i="5"/>
  <c r="B1701" i="5"/>
  <c r="B1700" i="5"/>
  <c r="B1699" i="5"/>
  <c r="B1698" i="5"/>
  <c r="B1697" i="5"/>
  <c r="B1696" i="5"/>
  <c r="B1695" i="5"/>
  <c r="B1694" i="5"/>
  <c r="B1693" i="5"/>
  <c r="B1692" i="5"/>
  <c r="B1691" i="5"/>
  <c r="B1690" i="5"/>
  <c r="B1689" i="5"/>
  <c r="B1688" i="5"/>
  <c r="B1687" i="5"/>
  <c r="B1686" i="5"/>
  <c r="B1685" i="5"/>
  <c r="B1684" i="5"/>
  <c r="B1683" i="5"/>
  <c r="B1682" i="5"/>
  <c r="B1681" i="5"/>
  <c r="B1680" i="5"/>
  <c r="B1679" i="5"/>
  <c r="B1678" i="5"/>
  <c r="B1677" i="5"/>
  <c r="B1676" i="5"/>
  <c r="B1675" i="5"/>
  <c r="B1674" i="5"/>
  <c r="B1673" i="5"/>
  <c r="B1672" i="5"/>
  <c r="B1671" i="5"/>
  <c r="B1670" i="5"/>
  <c r="B1669" i="5"/>
  <c r="B1668" i="5"/>
  <c r="B1667" i="5"/>
  <c r="B1666" i="5"/>
  <c r="B1665" i="5"/>
  <c r="B1664" i="5"/>
  <c r="B1663" i="5"/>
  <c r="B1662" i="5"/>
  <c r="B1661" i="5"/>
  <c r="B1660" i="5"/>
  <c r="B1659" i="5"/>
  <c r="B1658" i="5"/>
  <c r="B1657" i="5"/>
  <c r="B1656" i="5"/>
  <c r="B1655" i="5"/>
  <c r="B1654" i="5"/>
  <c r="B1653" i="5"/>
  <c r="B1652" i="5"/>
  <c r="B1651" i="5"/>
  <c r="B1650" i="5"/>
  <c r="B1649" i="5"/>
  <c r="B1648" i="5"/>
  <c r="B1647" i="5"/>
  <c r="B1646" i="5"/>
  <c r="B1645" i="5"/>
  <c r="B1644" i="5"/>
  <c r="B1643" i="5"/>
  <c r="B1642" i="5"/>
  <c r="B1641" i="5"/>
  <c r="B1640" i="5"/>
  <c r="B1639" i="5"/>
  <c r="B1638" i="5"/>
  <c r="B1637" i="5"/>
  <c r="B1636" i="5"/>
  <c r="B1635" i="5"/>
  <c r="B1634" i="5"/>
  <c r="B1633" i="5"/>
  <c r="B1632" i="5"/>
  <c r="B1631" i="5"/>
  <c r="B1630" i="5"/>
  <c r="B1629" i="5"/>
  <c r="B1628" i="5"/>
  <c r="B1627" i="5"/>
  <c r="B1626" i="5"/>
  <c r="B1625" i="5"/>
  <c r="B1624" i="5"/>
  <c r="B1623" i="5"/>
  <c r="B1622" i="5"/>
  <c r="B1621" i="5"/>
  <c r="B1620" i="5"/>
  <c r="B1619" i="5"/>
  <c r="B1618" i="5"/>
  <c r="B1617" i="5"/>
  <c r="B1616" i="5"/>
  <c r="B1615" i="5"/>
  <c r="B1614" i="5"/>
  <c r="B1613" i="5"/>
  <c r="B1612" i="5"/>
  <c r="B1611" i="5"/>
  <c r="B1610" i="5"/>
  <c r="B1609" i="5"/>
  <c r="B1608" i="5"/>
  <c r="B1607" i="5"/>
  <c r="B1606" i="5"/>
  <c r="B1605" i="5"/>
  <c r="B1604" i="5"/>
  <c r="B1603" i="5"/>
  <c r="B1602" i="5"/>
  <c r="B1601" i="5"/>
  <c r="B1600" i="5"/>
  <c r="B1599" i="5"/>
  <c r="B1598" i="5"/>
  <c r="B1597" i="5"/>
  <c r="B1596" i="5"/>
  <c r="B1595" i="5"/>
  <c r="B1594" i="5"/>
  <c r="B1593" i="5"/>
  <c r="B1592" i="5"/>
  <c r="B1591" i="5"/>
  <c r="B1590" i="5"/>
  <c r="B1589" i="5"/>
  <c r="B1588" i="5"/>
  <c r="B1587" i="5"/>
  <c r="B1586" i="5"/>
  <c r="B1585" i="5"/>
  <c r="B1584" i="5"/>
  <c r="B1583" i="5"/>
  <c r="B1582" i="5"/>
  <c r="B1581" i="5"/>
  <c r="B1580" i="5"/>
  <c r="B1579" i="5"/>
  <c r="B1578" i="5"/>
  <c r="B1577" i="5"/>
  <c r="B1576" i="5"/>
  <c r="B1575" i="5"/>
  <c r="B1574" i="5"/>
  <c r="B1573" i="5"/>
  <c r="B1572" i="5"/>
  <c r="B1571" i="5"/>
  <c r="B1570" i="5"/>
  <c r="B1569" i="5"/>
  <c r="B1568" i="5"/>
  <c r="B1567" i="5"/>
  <c r="B1566" i="5"/>
  <c r="B1565" i="5"/>
  <c r="B1564" i="5"/>
  <c r="B1563" i="5"/>
  <c r="B1562" i="5"/>
  <c r="B1561" i="5"/>
  <c r="B1560" i="5"/>
  <c r="B1559" i="5"/>
  <c r="B1558" i="5"/>
  <c r="B1557" i="5"/>
  <c r="B1556" i="5"/>
  <c r="B1555" i="5"/>
  <c r="B1554" i="5"/>
  <c r="B1553" i="5"/>
  <c r="B1552" i="5"/>
  <c r="B1551" i="5"/>
  <c r="B1550" i="5"/>
  <c r="B1549" i="5"/>
  <c r="B1548" i="5"/>
  <c r="B1547" i="5"/>
  <c r="B1546" i="5"/>
  <c r="B1545" i="5"/>
  <c r="B1544" i="5"/>
  <c r="B1543" i="5"/>
  <c r="B1542" i="5"/>
  <c r="B1541" i="5"/>
  <c r="B1540" i="5"/>
  <c r="B1539" i="5"/>
  <c r="B1538" i="5"/>
  <c r="B1537" i="5"/>
  <c r="B1536" i="5"/>
  <c r="B1535" i="5"/>
  <c r="B1534" i="5"/>
  <c r="B1533" i="5"/>
  <c r="B1532" i="5"/>
  <c r="B1531" i="5"/>
  <c r="B1530" i="5"/>
  <c r="B1529" i="5"/>
  <c r="B1528" i="5"/>
  <c r="B1527" i="5"/>
  <c r="B1526" i="5"/>
  <c r="B1525" i="5"/>
  <c r="B1524" i="5"/>
  <c r="B1523" i="5"/>
  <c r="B1522" i="5"/>
  <c r="B1521" i="5"/>
  <c r="B1520" i="5"/>
  <c r="B1519" i="5"/>
  <c r="B1518" i="5"/>
  <c r="B1517" i="5"/>
  <c r="B1516" i="5"/>
  <c r="B1515" i="5"/>
  <c r="B1514" i="5"/>
  <c r="B1513" i="5"/>
  <c r="B1512" i="5"/>
  <c r="B1511" i="5"/>
  <c r="B1510" i="5"/>
  <c r="B1509" i="5"/>
  <c r="B1508" i="5"/>
  <c r="B1507" i="5"/>
  <c r="B1506" i="5"/>
  <c r="B1505" i="5"/>
  <c r="B1504" i="5"/>
  <c r="B1503" i="5"/>
  <c r="B1502" i="5"/>
  <c r="B1501" i="5"/>
  <c r="B1500" i="5"/>
  <c r="B1499" i="5"/>
  <c r="B1498" i="5"/>
  <c r="B1497" i="5"/>
  <c r="B1496" i="5"/>
  <c r="B1495" i="5"/>
  <c r="B1494" i="5"/>
  <c r="B1493" i="5"/>
  <c r="B1492" i="5"/>
  <c r="B1491" i="5"/>
  <c r="B1490" i="5"/>
  <c r="B1489" i="5"/>
  <c r="B1488" i="5"/>
  <c r="B1487" i="5"/>
  <c r="B1486" i="5"/>
  <c r="B1485" i="5"/>
  <c r="B1484" i="5"/>
  <c r="B1483" i="5"/>
  <c r="B1482" i="5"/>
  <c r="B1481" i="5"/>
  <c r="B1480" i="5"/>
  <c r="B1479" i="5"/>
  <c r="B1478" i="5"/>
  <c r="B1477" i="5"/>
  <c r="B1476" i="5"/>
  <c r="B1475" i="5"/>
  <c r="B1474" i="5"/>
  <c r="B1473" i="5"/>
  <c r="B1472" i="5"/>
  <c r="B1471" i="5"/>
  <c r="B1470" i="5"/>
  <c r="B1469" i="5"/>
  <c r="B1468" i="5"/>
  <c r="B1467" i="5"/>
  <c r="B1466" i="5"/>
  <c r="B1465" i="5"/>
  <c r="B1464" i="5"/>
  <c r="B1463" i="5"/>
  <c r="B1462" i="5"/>
  <c r="B1461" i="5"/>
  <c r="B1460" i="5"/>
  <c r="B1459" i="5"/>
  <c r="B1458" i="5"/>
  <c r="B1457" i="5"/>
  <c r="B1456" i="5"/>
  <c r="B1455" i="5"/>
  <c r="B1454" i="5"/>
  <c r="B1453" i="5"/>
  <c r="B1452" i="5"/>
  <c r="B1451" i="5"/>
  <c r="B1450" i="5"/>
  <c r="B1449" i="5"/>
  <c r="B1448" i="5"/>
  <c r="B1447" i="5"/>
  <c r="B1446" i="5"/>
  <c r="B1445" i="5"/>
  <c r="B1444" i="5"/>
  <c r="B1443" i="5"/>
  <c r="B1442" i="5"/>
  <c r="B1441" i="5"/>
  <c r="B1440" i="5"/>
  <c r="B1439" i="5"/>
  <c r="B1438" i="5"/>
  <c r="B1437" i="5"/>
  <c r="B1436" i="5"/>
  <c r="B1435" i="5"/>
  <c r="B1434" i="5"/>
  <c r="B1433" i="5"/>
  <c r="B1432" i="5"/>
  <c r="B1431" i="5"/>
  <c r="B1430" i="5"/>
  <c r="B1429" i="5"/>
  <c r="B1428" i="5"/>
  <c r="B1427" i="5"/>
  <c r="B1426" i="5"/>
  <c r="B1425" i="5"/>
  <c r="B1424" i="5"/>
  <c r="B1423" i="5"/>
  <c r="B1422" i="5"/>
  <c r="B1421" i="5"/>
  <c r="B1420" i="5"/>
  <c r="B1419" i="5"/>
  <c r="B1418" i="5"/>
  <c r="B1417" i="5"/>
  <c r="B1416" i="5"/>
  <c r="B1415" i="5"/>
  <c r="B1414" i="5"/>
  <c r="B1413" i="5"/>
  <c r="B1412" i="5"/>
  <c r="B1411" i="5"/>
  <c r="B1410" i="5"/>
  <c r="B1409" i="5"/>
  <c r="B1408" i="5"/>
  <c r="B1407" i="5"/>
  <c r="B1406" i="5"/>
  <c r="B1405" i="5"/>
  <c r="B1404" i="5"/>
  <c r="B1403" i="5"/>
  <c r="B1402" i="5"/>
  <c r="B1401" i="5"/>
  <c r="B1400" i="5"/>
  <c r="B1399" i="5"/>
  <c r="B1398" i="5"/>
  <c r="B1397" i="5"/>
  <c r="B1396" i="5"/>
  <c r="B1395" i="5"/>
  <c r="B1394" i="5"/>
  <c r="B1393" i="5"/>
  <c r="B1392" i="5"/>
  <c r="B1391" i="5"/>
  <c r="B1390" i="5"/>
  <c r="B1389" i="5"/>
  <c r="B1388" i="5"/>
  <c r="B1387" i="5"/>
  <c r="B1386" i="5"/>
  <c r="B1385" i="5"/>
  <c r="B1384" i="5"/>
  <c r="B1383" i="5"/>
  <c r="B1382" i="5"/>
  <c r="B1381" i="5"/>
  <c r="B1380" i="5"/>
  <c r="B1379" i="5"/>
  <c r="B1378" i="5"/>
  <c r="B1377" i="5"/>
  <c r="B1376" i="5"/>
  <c r="B1375" i="5"/>
  <c r="B1374" i="5"/>
  <c r="B1373" i="5"/>
  <c r="B1372" i="5"/>
  <c r="B1371" i="5"/>
  <c r="B1370" i="5"/>
  <c r="B1369" i="5"/>
  <c r="B1368" i="5"/>
  <c r="B1367" i="5"/>
  <c r="B1366" i="5"/>
  <c r="B1365" i="5"/>
  <c r="B1364" i="5"/>
  <c r="B1363" i="5"/>
  <c r="B1362" i="5"/>
  <c r="B1361" i="5"/>
  <c r="B1360" i="5"/>
  <c r="B1359" i="5"/>
  <c r="B1358" i="5"/>
  <c r="B1357" i="5"/>
  <c r="B1356" i="5"/>
  <c r="B1355" i="5"/>
  <c r="B1354" i="5"/>
  <c r="B1353" i="5"/>
  <c r="B1352" i="5"/>
  <c r="B1351" i="5"/>
  <c r="B1350" i="5"/>
  <c r="B1349" i="5"/>
  <c r="B1348" i="5"/>
  <c r="B1347" i="5"/>
  <c r="B1346" i="5"/>
  <c r="B1345" i="5"/>
  <c r="B1344" i="5"/>
  <c r="B1343" i="5"/>
  <c r="B1342" i="5"/>
  <c r="B1341" i="5"/>
  <c r="B1340" i="5"/>
  <c r="B1339" i="5"/>
  <c r="B1338" i="5"/>
  <c r="B1337" i="5"/>
  <c r="B1336" i="5"/>
  <c r="B1335" i="5"/>
  <c r="B1334" i="5"/>
  <c r="B1333" i="5"/>
  <c r="B1332" i="5"/>
  <c r="B1331" i="5"/>
  <c r="B1330" i="5"/>
  <c r="B1329" i="5"/>
  <c r="B1328" i="5"/>
  <c r="B1327" i="5"/>
  <c r="B1326" i="5"/>
  <c r="B1325" i="5"/>
  <c r="B1324" i="5"/>
  <c r="B1323" i="5"/>
  <c r="B1322" i="5"/>
  <c r="B1321" i="5"/>
  <c r="B1320" i="5"/>
  <c r="B1319" i="5"/>
  <c r="B1318" i="5"/>
  <c r="B1317" i="5"/>
  <c r="B1316" i="5"/>
  <c r="B1315" i="5"/>
  <c r="B1314" i="5"/>
  <c r="B1313" i="5"/>
  <c r="B1312" i="5"/>
  <c r="B1311" i="5"/>
  <c r="B1310" i="5"/>
  <c r="B1309" i="5"/>
  <c r="B1308" i="5"/>
  <c r="B1307" i="5"/>
  <c r="B1306" i="5"/>
  <c r="B1305" i="5"/>
  <c r="B1304" i="5"/>
  <c r="B1303" i="5"/>
  <c r="B1302" i="5"/>
  <c r="B1301" i="5"/>
  <c r="B1300" i="5"/>
  <c r="B1299" i="5"/>
  <c r="B1298" i="5"/>
  <c r="B1297" i="5"/>
  <c r="B1296" i="5"/>
  <c r="B1295" i="5"/>
  <c r="B1294" i="5"/>
  <c r="B1293" i="5"/>
  <c r="B1292" i="5"/>
  <c r="B1291" i="5"/>
  <c r="B1290" i="5"/>
  <c r="B1289" i="5"/>
  <c r="B1288" i="5"/>
  <c r="B1287" i="5"/>
  <c r="B1286" i="5"/>
  <c r="B1285" i="5"/>
  <c r="B1284" i="5"/>
  <c r="B1283" i="5"/>
  <c r="B1282" i="5"/>
  <c r="B1281" i="5"/>
  <c r="B1280" i="5"/>
  <c r="B1279" i="5"/>
  <c r="B1278" i="5"/>
  <c r="B1277" i="5"/>
  <c r="B1276" i="5"/>
  <c r="B1275" i="5"/>
  <c r="B1274" i="5"/>
  <c r="B1273" i="5"/>
  <c r="B1272" i="5"/>
  <c r="B1271" i="5"/>
  <c r="B1270" i="5"/>
  <c r="B1269" i="5"/>
  <c r="B1268" i="5"/>
  <c r="B1267" i="5"/>
  <c r="B1266" i="5"/>
  <c r="B1265" i="5"/>
  <c r="B1264" i="5"/>
  <c r="B1263" i="5"/>
  <c r="B1262" i="5"/>
  <c r="B1261" i="5"/>
  <c r="B1260" i="5"/>
  <c r="B1259" i="5"/>
  <c r="B1258" i="5"/>
  <c r="B1257" i="5"/>
  <c r="B1256" i="5"/>
  <c r="B1255" i="5"/>
  <c r="B1254" i="5"/>
  <c r="B1253" i="5"/>
  <c r="B1252" i="5"/>
  <c r="B1251" i="5"/>
  <c r="B1250" i="5"/>
  <c r="B1249" i="5"/>
  <c r="B1248" i="5"/>
  <c r="B1247" i="5"/>
  <c r="B1246" i="5"/>
  <c r="B1245" i="5"/>
  <c r="B1244" i="5"/>
  <c r="B1243" i="5"/>
  <c r="B1242" i="5"/>
  <c r="B1241" i="5"/>
  <c r="B1240" i="5"/>
  <c r="B1239" i="5"/>
  <c r="B1238" i="5"/>
  <c r="B1237" i="5"/>
  <c r="B1236" i="5"/>
  <c r="B1235" i="5"/>
  <c r="B1234" i="5"/>
  <c r="B1233" i="5"/>
  <c r="B1232" i="5"/>
  <c r="B1231" i="5"/>
  <c r="B1230" i="5"/>
  <c r="B1229" i="5"/>
  <c r="B1228" i="5"/>
  <c r="B1227" i="5"/>
  <c r="B1226" i="5"/>
  <c r="B1225" i="5"/>
  <c r="B1224" i="5"/>
  <c r="B1223" i="5"/>
  <c r="B1222" i="5"/>
  <c r="B1221" i="5"/>
  <c r="B1220" i="5"/>
  <c r="B1219" i="5"/>
  <c r="B1218" i="5"/>
  <c r="B1217" i="5"/>
  <c r="B1216" i="5"/>
  <c r="B1215" i="5"/>
  <c r="B1214" i="5"/>
  <c r="B1213" i="5"/>
  <c r="B1212" i="5"/>
  <c r="B1211" i="5"/>
  <c r="B1210" i="5"/>
  <c r="B1209" i="5"/>
  <c r="B1208" i="5"/>
  <c r="B1207" i="5"/>
  <c r="B1206" i="5"/>
  <c r="B1205" i="5"/>
  <c r="B1204" i="5"/>
  <c r="B1203" i="5"/>
  <c r="B1202" i="5"/>
  <c r="B1201" i="5"/>
  <c r="B1200" i="5"/>
  <c r="B1199" i="5"/>
  <c r="B1198" i="5"/>
  <c r="B1197" i="5"/>
  <c r="B1196" i="5"/>
  <c r="B1195" i="5"/>
  <c r="B1194" i="5"/>
  <c r="B1193" i="5"/>
  <c r="B1192" i="5"/>
  <c r="B1191" i="5"/>
  <c r="B1190" i="5"/>
  <c r="B1189" i="5"/>
  <c r="B1188" i="5"/>
  <c r="B1187" i="5"/>
  <c r="B1186" i="5"/>
  <c r="B1185" i="5"/>
  <c r="B1184" i="5"/>
  <c r="B1183" i="5"/>
  <c r="B1182" i="5"/>
  <c r="B1181" i="5"/>
  <c r="B1180" i="5"/>
  <c r="B1179" i="5"/>
  <c r="B1178" i="5"/>
  <c r="B1177" i="5"/>
  <c r="B1176" i="5"/>
  <c r="B1175" i="5"/>
  <c r="B1174" i="5"/>
  <c r="B1173" i="5"/>
  <c r="B1172" i="5"/>
  <c r="B1171" i="5"/>
  <c r="B1170" i="5"/>
  <c r="B1169" i="5"/>
  <c r="B1168" i="5"/>
  <c r="B1167" i="5"/>
  <c r="B1166" i="5"/>
  <c r="B1165" i="5"/>
  <c r="B1164" i="5"/>
  <c r="B1163" i="5"/>
  <c r="B1162" i="5"/>
  <c r="B1161" i="5"/>
  <c r="B1160" i="5"/>
  <c r="B1159" i="5"/>
  <c r="B1158" i="5"/>
  <c r="B1157" i="5"/>
  <c r="B1156" i="5"/>
  <c r="B1155" i="5"/>
  <c r="B1154" i="5"/>
  <c r="B1153" i="5"/>
  <c r="B1152" i="5"/>
  <c r="B1151" i="5"/>
  <c r="B1150" i="5"/>
  <c r="B1149" i="5"/>
  <c r="B1148" i="5"/>
  <c r="B1147" i="5"/>
  <c r="B1146" i="5"/>
  <c r="B1145" i="5"/>
  <c r="B1144" i="5"/>
  <c r="B1143" i="5"/>
  <c r="B1142" i="5"/>
  <c r="B1141" i="5"/>
  <c r="B1140" i="5"/>
  <c r="B1139" i="5"/>
  <c r="B1138" i="5"/>
  <c r="B1137" i="5"/>
  <c r="B1136" i="5"/>
  <c r="B1135" i="5"/>
  <c r="B1134" i="5"/>
  <c r="B1133" i="5"/>
  <c r="B1132" i="5"/>
  <c r="B1131" i="5"/>
  <c r="B1130" i="5"/>
  <c r="B1129" i="5"/>
  <c r="B1128" i="5"/>
  <c r="B1127" i="5"/>
  <c r="B1126" i="5"/>
  <c r="B1125" i="5"/>
  <c r="B1124" i="5"/>
  <c r="B1123" i="5"/>
  <c r="B1122" i="5"/>
  <c r="B1121" i="5"/>
  <c r="B1120" i="5"/>
  <c r="B1119" i="5"/>
  <c r="B1118" i="5"/>
  <c r="B1117" i="5"/>
  <c r="B1116" i="5"/>
  <c r="B1115" i="5"/>
  <c r="B1114" i="5"/>
  <c r="B1113" i="5"/>
  <c r="B1112" i="5"/>
  <c r="B1111" i="5"/>
  <c r="B1110" i="5"/>
  <c r="B1109" i="5"/>
  <c r="B1108" i="5"/>
  <c r="B1107" i="5"/>
  <c r="B1106" i="5"/>
  <c r="B1105" i="5"/>
  <c r="B1104" i="5"/>
  <c r="B1103" i="5"/>
  <c r="B1102" i="5"/>
  <c r="B1101" i="5"/>
  <c r="B1100" i="5"/>
  <c r="B1099" i="5"/>
  <c r="B1098" i="5"/>
  <c r="B1097" i="5"/>
  <c r="B1096" i="5"/>
  <c r="B1095" i="5"/>
  <c r="B1094" i="5"/>
  <c r="B1093" i="5"/>
  <c r="B1092" i="5"/>
  <c r="B1091" i="5"/>
  <c r="B1090" i="5"/>
  <c r="B1089" i="5"/>
  <c r="B1088" i="5"/>
  <c r="B1087" i="5"/>
  <c r="B1086" i="5"/>
  <c r="B1085" i="5"/>
  <c r="B1084" i="5"/>
  <c r="B1083" i="5"/>
  <c r="B1082" i="5"/>
  <c r="B1081" i="5"/>
  <c r="B1080" i="5"/>
  <c r="B1079" i="5"/>
  <c r="B1078" i="5"/>
  <c r="B1077" i="5"/>
  <c r="B1076" i="5"/>
  <c r="B1075" i="5"/>
  <c r="B1074" i="5"/>
  <c r="B1073" i="5"/>
  <c r="B1072" i="5"/>
  <c r="B1071" i="5"/>
  <c r="B1070" i="5"/>
  <c r="B1069" i="5"/>
  <c r="B1068" i="5"/>
  <c r="B1067" i="5"/>
  <c r="B1066" i="5"/>
  <c r="B1065" i="5"/>
  <c r="B1064" i="5"/>
  <c r="B1063" i="5"/>
  <c r="B1062" i="5"/>
  <c r="B1061" i="5"/>
  <c r="B1060" i="5"/>
  <c r="B1059" i="5"/>
  <c r="B1058" i="5"/>
  <c r="B1057" i="5"/>
  <c r="B1056" i="5"/>
  <c r="B1055" i="5"/>
  <c r="B1054" i="5"/>
  <c r="B1053" i="5"/>
  <c r="B1052" i="5"/>
  <c r="B1051" i="5"/>
  <c r="B1050" i="5"/>
  <c r="B1049" i="5"/>
  <c r="B1048" i="5"/>
  <c r="B1047" i="5"/>
  <c r="B1046" i="5"/>
  <c r="B1045" i="5"/>
  <c r="B1044" i="5"/>
  <c r="B1043" i="5"/>
  <c r="B1042" i="5"/>
  <c r="B1041" i="5"/>
  <c r="B1040" i="5"/>
  <c r="B1039" i="5"/>
  <c r="B1038" i="5"/>
  <c r="B1037" i="5"/>
  <c r="B1036" i="5"/>
  <c r="B1035" i="5"/>
  <c r="B1034" i="5"/>
  <c r="B1033" i="5"/>
  <c r="B1032" i="5"/>
  <c r="B1031" i="5"/>
  <c r="B1030" i="5"/>
  <c r="B1029" i="5"/>
  <c r="B1028" i="5"/>
  <c r="B1027" i="5"/>
  <c r="B1026" i="5"/>
  <c r="B1025" i="5"/>
  <c r="B1024" i="5"/>
  <c r="B1023" i="5"/>
  <c r="B1022" i="5"/>
  <c r="B1021" i="5"/>
  <c r="B1020" i="5"/>
  <c r="B1019" i="5"/>
  <c r="B1018" i="5"/>
  <c r="B1017" i="5"/>
  <c r="B1016" i="5"/>
  <c r="B1015" i="5"/>
  <c r="B1014" i="5"/>
  <c r="B1013" i="5"/>
  <c r="B1012" i="5"/>
  <c r="B1011" i="5"/>
  <c r="B1010" i="5"/>
  <c r="B1009" i="5"/>
  <c r="B1008" i="5"/>
  <c r="B1007" i="5"/>
  <c r="B1006" i="5"/>
  <c r="B1005" i="5"/>
  <c r="B1004" i="5"/>
  <c r="B1003" i="5"/>
  <c r="B1002" i="5"/>
  <c r="B1001" i="5"/>
  <c r="B1000" i="5"/>
  <c r="B999" i="5"/>
  <c r="B998" i="5"/>
  <c r="B997" i="5"/>
  <c r="B996" i="5"/>
  <c r="B995" i="5"/>
  <c r="B994" i="5"/>
  <c r="B993" i="5"/>
  <c r="B992" i="5"/>
  <c r="B991" i="5"/>
  <c r="B990" i="5"/>
  <c r="B989" i="5"/>
  <c r="B988" i="5"/>
  <c r="B987" i="5"/>
  <c r="B986" i="5"/>
  <c r="B985" i="5"/>
  <c r="B984" i="5"/>
  <c r="B983" i="5"/>
  <c r="B982" i="5"/>
  <c r="B981" i="5"/>
  <c r="B980" i="5"/>
  <c r="B979" i="5"/>
  <c r="B978" i="5"/>
  <c r="B977" i="5"/>
  <c r="B976" i="5"/>
  <c r="B975" i="5"/>
  <c r="B974" i="5"/>
  <c r="B973" i="5"/>
  <c r="B972" i="5"/>
  <c r="B971" i="5"/>
  <c r="B970" i="5"/>
  <c r="B969" i="5"/>
  <c r="B968" i="5"/>
  <c r="B967" i="5"/>
  <c r="B966" i="5"/>
  <c r="B965" i="5"/>
  <c r="B964" i="5"/>
  <c r="B963" i="5"/>
  <c r="B962" i="5"/>
  <c r="B961" i="5"/>
  <c r="B960" i="5"/>
  <c r="B959" i="5"/>
  <c r="B958" i="5"/>
  <c r="B957" i="5"/>
  <c r="B956" i="5"/>
  <c r="B955" i="5"/>
  <c r="B954" i="5"/>
  <c r="B953" i="5"/>
  <c r="B952" i="5"/>
  <c r="B951" i="5"/>
  <c r="B950" i="5"/>
  <c r="B949" i="5"/>
  <c r="B948" i="5"/>
  <c r="B947" i="5"/>
  <c r="B946" i="5"/>
  <c r="B945" i="5"/>
  <c r="B944" i="5"/>
  <c r="B943" i="5"/>
  <c r="B942" i="5"/>
  <c r="B941" i="5"/>
  <c r="B940" i="5"/>
  <c r="B939" i="5"/>
  <c r="B938" i="5"/>
  <c r="B937" i="5"/>
  <c r="B936" i="5"/>
  <c r="B935" i="5"/>
  <c r="B934" i="5"/>
  <c r="B933" i="5"/>
  <c r="B932" i="5"/>
  <c r="B931" i="5"/>
  <c r="B930" i="5"/>
  <c r="B929" i="5"/>
  <c r="B928" i="5"/>
  <c r="B927" i="5"/>
  <c r="B926" i="5"/>
  <c r="B925" i="5"/>
  <c r="B924" i="5"/>
  <c r="B923" i="5"/>
  <c r="B922" i="5"/>
  <c r="B921" i="5"/>
  <c r="B920" i="5"/>
  <c r="B919" i="5"/>
  <c r="B918" i="5"/>
  <c r="B917" i="5"/>
  <c r="B916" i="5"/>
  <c r="B915" i="5"/>
  <c r="B914" i="5"/>
  <c r="B913" i="5"/>
  <c r="B912" i="5"/>
  <c r="B911" i="5"/>
  <c r="B910" i="5"/>
  <c r="B909" i="5"/>
  <c r="B908" i="5"/>
  <c r="B907" i="5"/>
  <c r="B906" i="5"/>
  <c r="B905" i="5"/>
  <c r="B904" i="5"/>
  <c r="B903" i="5"/>
  <c r="B902" i="5"/>
  <c r="B901" i="5"/>
  <c r="B900" i="5"/>
  <c r="B899" i="5"/>
  <c r="B898" i="5"/>
  <c r="B897" i="5"/>
  <c r="B896" i="5"/>
  <c r="B895" i="5"/>
  <c r="B894" i="5"/>
  <c r="B893" i="5"/>
  <c r="B892" i="5"/>
  <c r="B891" i="5"/>
  <c r="B890" i="5"/>
  <c r="B889" i="5"/>
  <c r="B888" i="5"/>
  <c r="B887" i="5"/>
  <c r="B886" i="5"/>
  <c r="B885" i="5"/>
  <c r="B884" i="5"/>
  <c r="B883" i="5"/>
  <c r="B882" i="5"/>
  <c r="B881" i="5"/>
  <c r="B880" i="5"/>
  <c r="B879" i="5"/>
  <c r="B878" i="5"/>
  <c r="B877" i="5"/>
  <c r="B876" i="5"/>
  <c r="B875" i="5"/>
  <c r="B874" i="5"/>
  <c r="B873" i="5"/>
  <c r="B872" i="5"/>
  <c r="B871" i="5"/>
  <c r="B870" i="5"/>
  <c r="B869" i="5"/>
  <c r="B868" i="5"/>
  <c r="B867" i="5"/>
  <c r="B866" i="5"/>
  <c r="B865" i="5"/>
  <c r="B864" i="5"/>
  <c r="B863" i="5"/>
  <c r="B862" i="5"/>
  <c r="B861" i="5"/>
  <c r="B860" i="5"/>
  <c r="B859" i="5"/>
  <c r="B858" i="5"/>
  <c r="B857" i="5"/>
  <c r="B856" i="5"/>
  <c r="B855" i="5"/>
  <c r="B854" i="5"/>
  <c r="B853" i="5"/>
  <c r="B852" i="5"/>
  <c r="B851" i="5"/>
  <c r="B850" i="5"/>
  <c r="B849" i="5"/>
  <c r="B848" i="5"/>
  <c r="B847" i="5"/>
  <c r="B846" i="5"/>
  <c r="B845" i="5"/>
  <c r="B844" i="5"/>
  <c r="B843" i="5"/>
  <c r="B842" i="5"/>
  <c r="B841" i="5"/>
  <c r="B840" i="5"/>
  <c r="B839" i="5"/>
  <c r="B838" i="5"/>
  <c r="B837" i="5"/>
  <c r="B836" i="5"/>
  <c r="B835" i="5"/>
  <c r="B834" i="5"/>
  <c r="B833" i="5"/>
  <c r="B832" i="5"/>
  <c r="B831" i="5"/>
  <c r="B830" i="5"/>
  <c r="B829" i="5"/>
  <c r="B828" i="5"/>
  <c r="B827" i="5"/>
  <c r="B826" i="5"/>
  <c r="B825" i="5"/>
  <c r="B824" i="5"/>
  <c r="B823" i="5"/>
  <c r="B822" i="5"/>
  <c r="B821" i="5"/>
  <c r="B820" i="5"/>
  <c r="B819" i="5"/>
  <c r="B818" i="5"/>
  <c r="B817" i="5"/>
  <c r="B816" i="5"/>
  <c r="B815" i="5"/>
  <c r="B814" i="5"/>
  <c r="B813" i="5"/>
  <c r="B812" i="5"/>
  <c r="B811" i="5"/>
  <c r="B810" i="5"/>
  <c r="B809" i="5"/>
  <c r="B808" i="5"/>
  <c r="B807" i="5"/>
  <c r="B806" i="5"/>
  <c r="B805" i="5"/>
  <c r="B804" i="5"/>
  <c r="B803" i="5"/>
  <c r="B802" i="5"/>
  <c r="B801" i="5"/>
  <c r="B800" i="5"/>
  <c r="B799" i="5"/>
  <c r="B798" i="5"/>
  <c r="B797" i="5"/>
  <c r="B796" i="5"/>
  <c r="B795" i="5"/>
  <c r="B794" i="5"/>
  <c r="B793" i="5"/>
  <c r="B792" i="5"/>
  <c r="B791" i="5"/>
  <c r="B790" i="5"/>
  <c r="B789" i="5"/>
  <c r="B788" i="5"/>
  <c r="B787" i="5"/>
  <c r="B786" i="5"/>
  <c r="B785" i="5"/>
  <c r="B784" i="5"/>
  <c r="B783" i="5"/>
  <c r="B782" i="5"/>
  <c r="B781" i="5"/>
  <c r="B780" i="5"/>
  <c r="B779" i="5"/>
  <c r="B778" i="5"/>
  <c r="B777" i="5"/>
  <c r="B776" i="5"/>
  <c r="B775" i="5"/>
  <c r="B774" i="5"/>
  <c r="B773" i="5"/>
  <c r="B772" i="5"/>
  <c r="B771" i="5"/>
  <c r="B770" i="5"/>
  <c r="B769" i="5"/>
  <c r="B768" i="5"/>
  <c r="B767" i="5"/>
  <c r="B766" i="5"/>
  <c r="B765" i="5"/>
  <c r="B764" i="5"/>
  <c r="B763" i="5"/>
  <c r="B762" i="5"/>
  <c r="B761" i="5"/>
  <c r="B760" i="5"/>
  <c r="B759" i="5"/>
  <c r="B758" i="5"/>
  <c r="B757" i="5"/>
  <c r="B756" i="5"/>
  <c r="B755" i="5"/>
  <c r="B754" i="5"/>
  <c r="B753" i="5"/>
  <c r="B752" i="5"/>
  <c r="B751" i="5"/>
  <c r="B750" i="5"/>
  <c r="B749" i="5"/>
  <c r="B748" i="5"/>
  <c r="B747" i="5"/>
  <c r="B746" i="5"/>
  <c r="B745" i="5"/>
  <c r="B744" i="5"/>
  <c r="B743" i="5"/>
  <c r="B742" i="5"/>
  <c r="B741" i="5"/>
  <c r="B740" i="5"/>
  <c r="B739" i="5"/>
  <c r="B738" i="5"/>
  <c r="B737" i="5"/>
  <c r="B736" i="5"/>
  <c r="B735" i="5"/>
  <c r="B734" i="5"/>
  <c r="B733" i="5"/>
  <c r="B732" i="5"/>
  <c r="B731" i="5"/>
  <c r="B730" i="5"/>
  <c r="B729" i="5"/>
  <c r="B728" i="5"/>
  <c r="B727" i="5"/>
  <c r="B726" i="5"/>
  <c r="B725" i="5"/>
  <c r="B724" i="5"/>
  <c r="B723" i="5"/>
  <c r="B722" i="5"/>
  <c r="B721" i="5"/>
  <c r="B720" i="5"/>
  <c r="B719" i="5"/>
  <c r="B718" i="5"/>
  <c r="B717" i="5"/>
  <c r="B716" i="5"/>
  <c r="B715" i="5"/>
  <c r="B714" i="5"/>
  <c r="B713" i="5"/>
  <c r="B712" i="5"/>
  <c r="B711" i="5"/>
  <c r="B710" i="5"/>
  <c r="B709" i="5"/>
  <c r="B708" i="5"/>
  <c r="B707" i="5"/>
  <c r="B706" i="5"/>
  <c r="B705" i="5"/>
  <c r="B704" i="5"/>
  <c r="B703" i="5"/>
  <c r="B702" i="5"/>
  <c r="B701" i="5"/>
  <c r="B700" i="5"/>
  <c r="B699" i="5"/>
  <c r="B698" i="5"/>
  <c r="B697" i="5"/>
  <c r="B696" i="5"/>
  <c r="B695" i="5"/>
  <c r="B694" i="5"/>
  <c r="B693" i="5"/>
  <c r="B692" i="5"/>
  <c r="B691" i="5"/>
  <c r="B690" i="5"/>
  <c r="B689" i="5"/>
  <c r="B688" i="5"/>
  <c r="B687" i="5"/>
  <c r="B686" i="5"/>
  <c r="B685" i="5"/>
  <c r="B684" i="5"/>
  <c r="B683" i="5"/>
  <c r="B682" i="5"/>
  <c r="B681" i="5"/>
  <c r="B680" i="5"/>
  <c r="B679" i="5"/>
  <c r="B678" i="5"/>
  <c r="B677" i="5"/>
  <c r="B676" i="5"/>
  <c r="B675" i="5"/>
  <c r="B674" i="5"/>
  <c r="B673" i="5"/>
  <c r="B672" i="5"/>
  <c r="B671" i="5"/>
  <c r="B670" i="5"/>
  <c r="B669" i="5"/>
  <c r="B668" i="5"/>
  <c r="B667" i="5"/>
  <c r="B666" i="5"/>
  <c r="B665" i="5"/>
  <c r="B664" i="5"/>
  <c r="B663" i="5"/>
  <c r="B662" i="5"/>
  <c r="B661" i="5"/>
  <c r="B660" i="5"/>
  <c r="B659" i="5"/>
  <c r="B658" i="5"/>
  <c r="B657" i="5"/>
  <c r="B656" i="5"/>
  <c r="B655" i="5"/>
  <c r="B654" i="5"/>
  <c r="B653" i="5"/>
  <c r="B652" i="5"/>
  <c r="B651" i="5"/>
  <c r="B650" i="5"/>
  <c r="B649" i="5"/>
  <c r="B648" i="5"/>
  <c r="B647" i="5"/>
  <c r="B646" i="5"/>
  <c r="B645" i="5"/>
  <c r="B644" i="5"/>
  <c r="B643" i="5"/>
  <c r="B642" i="5"/>
  <c r="B641" i="5"/>
  <c r="B640" i="5"/>
  <c r="B639" i="5"/>
  <c r="B638" i="5"/>
  <c r="B637" i="5"/>
  <c r="B636" i="5"/>
  <c r="B635" i="5"/>
  <c r="B634" i="5"/>
  <c r="B633" i="5"/>
  <c r="B632" i="5"/>
  <c r="B631" i="5"/>
  <c r="B630" i="5"/>
  <c r="B629" i="5"/>
  <c r="B628" i="5"/>
  <c r="B627" i="5"/>
  <c r="B626" i="5"/>
  <c r="B625" i="5"/>
  <c r="B624" i="5"/>
  <c r="B623" i="5"/>
  <c r="B622" i="5"/>
  <c r="B621" i="5"/>
  <c r="B620" i="5"/>
  <c r="B619" i="5"/>
  <c r="B618" i="5"/>
  <c r="B617" i="5"/>
  <c r="B616" i="5"/>
  <c r="B615" i="5"/>
  <c r="B614" i="5"/>
  <c r="B613" i="5"/>
  <c r="B612" i="5"/>
  <c r="B611" i="5"/>
  <c r="B610" i="5"/>
  <c r="B609" i="5"/>
  <c r="B608" i="5"/>
  <c r="B607" i="5"/>
  <c r="B606" i="5"/>
  <c r="B605" i="5"/>
  <c r="B604" i="5"/>
  <c r="B603" i="5"/>
  <c r="B602" i="5"/>
  <c r="B601" i="5"/>
  <c r="B600" i="5"/>
  <c r="B599" i="5"/>
  <c r="B598" i="5"/>
  <c r="B597" i="5"/>
  <c r="B596" i="5"/>
  <c r="B595" i="5"/>
  <c r="B594" i="5"/>
  <c r="B593" i="5"/>
  <c r="B592" i="5"/>
  <c r="B591" i="5"/>
  <c r="B590" i="5"/>
  <c r="B589" i="5"/>
  <c r="B588" i="5"/>
  <c r="B587" i="5"/>
  <c r="B586" i="5"/>
  <c r="B585" i="5"/>
  <c r="B584" i="5"/>
  <c r="B583" i="5"/>
  <c r="B582" i="5"/>
  <c r="B581" i="5"/>
  <c r="B580" i="5"/>
  <c r="B579" i="5"/>
  <c r="B578"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 r="B2" i="5"/>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9"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2"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1" i="3"/>
  <c r="B700" i="3"/>
  <c r="B699" i="3"/>
  <c r="B698" i="3"/>
  <c r="B697" i="3"/>
  <c r="B696" i="3"/>
  <c r="B695"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alcChain>
</file>

<file path=xl/sharedStrings.xml><?xml version="1.0" encoding="utf-8"?>
<sst xmlns="http://schemas.openxmlformats.org/spreadsheetml/2006/main" count="19972" uniqueCount="9338">
  <si>
    <t>ACTION</t>
  </si>
  <si>
    <t>HS_CODES_AFFECTED</t>
  </si>
  <si>
    <t>Deleted</t>
  </si>
  <si>
    <t>New</t>
  </si>
  <si>
    <t>Last Updated: 2021-12-01 based on Tariff Date: 2022-01-01 Update Notes: 2022 Export Tariff ( EU/DE/GB )  Based on 8 Digit "CN" for EU.</t>
  </si>
  <si>
    <t>CHAPTER 3 - FISH AND CRUSTACEANS, MOLLUSCS AND OTHER AQUATIC INVERTEBRATES: Fish, dried, salted or in brine; smoked fish, whether or not cooked before or during the smoking process; flours, meals and pellets of fish, fit for human consumption: Flours, meals and pellets of fish, fit for human consumption</t>
  </si>
  <si>
    <t>CHAPTER 3 - FISH AND CRUSTACEANS, MOLLUSCS AND OTHER AQUATIC INVERTEBRATES</t>
  </si>
  <si>
    <t>Fish, dried, salted or in brine; smoked fish, whether or not cooked before or during the smoking process</t>
  </si>
  <si>
    <t>Flours, meals and pellets of fish, fit for human consumption</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</si>
  <si>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Scallops, including queen scallops, of the genera Pecten, Chlamys or Placopecten: Live, fresh or chilled</t>
  </si>
  <si>
    <t>Molluscs, whether in shell or not, live, fresh, chilled, frozen, dried, salted or in brine; smoked molluscs, whether in shell or not, whether or not cooked before or during the smoking process</t>
  </si>
  <si>
    <t>Scallops, including queen scallops, of the genera Pecten, Chlamys or Placopecten :"Live, fresh or chilled</t>
  </si>
  <si>
    <t xml:space="preserve">New    </t>
  </si>
  <si>
    <t>CHAPTER 3 - FISH AND CRUSTACEANS, MOLLUSCS AND OTHER AQUATIC INVERTEBRATES: Molluscs, whether in shell or not, live, fresh, chilled, frozen, dried, salted or in brine; smoked molluscs, whether in shell or not, whether or not cooked before or during the smoking process: Scallops and other molluscs of the family Pectinidae: Live, fresh or chilled: Scallops, including queen scallops, of the genera Pecten, Chlamys or Placopecten</t>
  </si>
  <si>
    <t>Scallops, including queen scallops, of the genera Pecten, Chlamys or Placopecten</t>
  </si>
  <si>
    <t>CHAPTER 3 - FISH AND CRUSTACEANS, MOLLUSCS AND OTHER AQUATIC INVERTEBRATES: Molluscs, whether in shell or not, live, fresh, chilled, frozen, dried, salted or in brine; smoked molluscs, whether in shell or not, whether or not cooked before or during the smoking process: Scallops and other molluscs of the family Pectinidae: Live, fresh or chilled: Other</t>
  </si>
  <si>
    <t>Other</t>
  </si>
  <si>
    <t>CHAPTER 3 - FISH AND CRUSTACEANS, MOLLUSCS AND OTHER AQUATIC INVERTEBRATES: Molluscs, whether in shell or not, live, fresh, chilled, frozen, dried, salted or in brine; smoked molluscs, whether in shell or not, whether or not cooked before or during the smoking process: Scallops and other molluscs of the family Pectinidae: Frozen: Other</t>
  </si>
  <si>
    <t>Scallops, including queen scallops, of the genera Pecten, Chlamys or Placopecten :</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</si>
  <si>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Scallops, including queen scallops, of the genera Pecten, Chlamys or Placopecten: Other</t>
  </si>
  <si>
    <t>Scallops, including queen scallops, of the genera Pecten, Chlamys or Placopecten :"Other</t>
  </si>
  <si>
    <t>CHAPTER 3 - FISH AND CRUSTACEANS, MOLLUSCS AND OTHER AQUATIC INVERTEBRATES: Molluscs, whether in shell or not, live, fresh, chilled, frozen, dried, salted or in brine; smoked molluscs, whether in shell or not, whether or not cooked before or during the smoking process: Scallops and other molluscs of the family Pectinidae: Other: Scallops, including queen scallops, of the genera Pecten, Chlamys or Placopecten</t>
  </si>
  <si>
    <t>CHAPTER 3 - FISH AND CRUSTACEANS, MOLLUSCS AND OTHER AQUATIC INVERTEBRATES: Molluscs, whether in shell or not, live, fresh, chilled, frozen, dried, salted or in brine; smoked molluscs, whether in shell or not, whether or not cooked before or during the smoking process: Scallops and other molluscs of the family Pectinidae: Other: Other</t>
  </si>
  <si>
    <t>CHAPTER 3 - FISH AND CRUSTACEANS, MOLLUSCS AND OTHER AQUATIC INVERTEBRATES: Flours, meals and pellets of fish, crustaceans, molluscs and other aquatic invertebrates, fit for human consumption: Of fish</t>
  </si>
  <si>
    <t>Of fish</t>
  </si>
  <si>
    <t>Flours, meals and pellets of fish, crustaceans, molluscs and other aquatic invertebrates, fit for human consumption</t>
  </si>
  <si>
    <t>CHAPTER 3 - FISH AND CRUSTACEANS, MOLLUSCS AND OTHER AQUATIC INVERTEBRATES: Flours, meals and pellets of fish, crustaceans, molluscs and other aquatic invertebrates, fit for human consumption: Other</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</si>
  <si>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Yogurt: Not flavoured nor containing added fruit, nuts or cocoa: Not containing added sugar or other sweetening matter, of a fat content, by weight: Not exceeding 3 %</t>
  </si>
  <si>
    <t>CHAPTER 4 - DAIRY PRODUCE; BIRDS' EGGS; NATURAL HONEY; EDIBLE PRODUCTS OF ANIMAL ORIGIN, NOT ELSEWHERE SPECIFIED OR INCLUDED</t>
  </si>
  <si>
    <t>Yogurt; buttermilk, curdled milk and cream,  kephir and other fermented or acidified milk and cream, whether or not concentrated or containing added sugar or other sweetening matter or flavoured or containing added fruit, nuts or cocoa</t>
  </si>
  <si>
    <t>Yogurt</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</si>
  <si>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Yogurt: Not flavoured nor containing added fruit, nuts or cocoa: Not containing added sugar or other sweetening matter, of a fat content, by weight: Exceeding 3 % but not exceeding 6 %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</si>
  <si>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Yogurt: Not flavoured nor containing added fruit, nuts or cocoa: Not containing added sugar or other sweetening matter, of a fat content, by weight: Exceeding 6 %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</si>
  <si>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Yogurt: Not flavoured nor containing added fruit, nuts or cocoa: Other, of a fat content, by weight: Not exceeding 3 %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</si>
  <si>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Yogurt: Not flavoured nor containing added fruit, nuts or cocoa: Other, of a fat content, by weight: Exceeding 3 % but not exceeding 6 %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</si>
  <si>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Yogurt: Not flavoured nor containing added fruit, nuts or cocoa: Other, of a fat content, by weight: Exceeding 6 %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</si>
  <si>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Yogurt: Flavoured or containing added fruit, nuts or cocoa: In powder, granules or other solid forms, of a milkfat content, by weight: Not exceeding 1,5 %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</si>
  <si>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Yogurt: Flavoured or containing added fruit, nuts or cocoa: In powder, granules or other solid forms, of a milkfat content, by weight: Exceeding 1,5 % but not exceeding 27 %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</si>
  <si>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Yogurt: Flavoured or containing added fruit, nuts or cocoa: In powder, granules or other solid forms, of a milkfat content, by weight: Exceeding 27 %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</si>
  <si>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Yogurt: Flavoured or containing added fruit, nuts or cocoa: Other, of a milkfat content, by weight: Not exceeding 3 %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</si>
  <si>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Yogurt: Flavoured or containing added fruit, nuts or cocoa: Other, of a milkfat content, by weight: Exceeding 3 % but not exceeding 6 %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</si>
  <si>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Yogurt: Flavoured or containing added fruit, nuts or cocoa: Other, of a milkfat content, by weight: Exceeding 6 %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</si>
  <si>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Yogurt: Not flavoured nor containing added fruit, nuts, cocoa, chocolate, spices, coffee or coffee extract, plants, parts of plants, cereals or bakers’ wares: Not containing added sugar or other sweetening matter, of a fat content, by weight: Not exceeding 3 %</t>
  </si>
  <si>
    <t>Not flavoured nor containing added fruit, nuts, cocoa, chocolate, spices, coffee or coffee extract, plants, parts of plants, cereals or bakers’ wares: Not containing added sugar or other sweetening matter, of a fat content, by weight: Not exceeding 3 %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</si>
  <si>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Yogurt: Not flavoured nor containing added fruit, nuts, cocoa, chocolate, spices, coffee or coffee extract, plants, parts of plants, cereals or bakers’ wares: Not containing added sugar or other sweetening matter, of a fat content, by weight: Exceeding 3 % but not exceeding 6 %</t>
  </si>
  <si>
    <t>Not flavoured nor containing added fruit, nuts, cocoa, chocolate, spices, coffee or coffee extract, plants, parts of plants, cereals or bakers’ wares: Not containing added sugar or other sweetening matter, of a fat content, by weight: Exceeding 3 % but not exceeding 6 %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</si>
  <si>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Yogurt: Not flavoured nor containing added fruit, nuts, cocoa, chocolate, spices, coffee or coffee extract, plants, parts of plants, cereals or bakers’ wares: Not containing added sugar or other sweetening matter, of a fat content, by weight: Exceeding 6 %</t>
  </si>
  <si>
    <t>Not flavoured nor containing added fruit, nuts, cocoa, chocolate, spices, coffee or coffee extract, plants, parts of plants, cereals or bakers’ wares: Not containing added sugar or other sweetening matter, of a fat content, by weight: Exceeding 6 %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</si>
  <si>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Yogurt: Not flavoured nor containing added fruit, nuts, cocoa, chocolate, spices, coffee or coffee extract, plants, parts of plants, cereals or bakers’ wares: Other, of a fat content, by weight: Not exceeding 3 %</t>
  </si>
  <si>
    <t>Not flavoured nor containing added fruit, nuts, cocoa, chocolate, spices, coffee or coffee extract, plants, parts of plants, cereals or bakers’ wares: Other, of a fat content, by weight: Not exceeding 3 %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</si>
  <si>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Yogurt: Not flavoured nor containing added fruit, nuts, cocoa, chocolate, spices, coffee or coffee extract, plants, parts of plants, cereals or bakers’ wares: Other, of a fat content, by weight: Exceeding 3 % but not exceeding 6 %</t>
  </si>
  <si>
    <t>Not flavoured nor containing added fruit, nuts, cocoa, chocolate, spices, coffee or coffee extract, plants, parts of plants, cereals or bakers’ wares: Other, of a fat content, by weight: Exceeding 3 % but not exceeding 6 %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</si>
  <si>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Yogurt: Not flavoured nor containing added fruit, nuts, cocoa, chocolate, spices, coffee or coffee extract, plants, parts of plants, cereals or bakers’ wares: Other, of a fat content, by weight: Exceeding 6 %</t>
  </si>
  <si>
    <t>Not flavoured nor containing added fruit, nuts, cocoa, chocolate, spices, coffee or coffee extract, plants, parts of plants, cereals or bakers’ wares: Other, of a fat content, by weight: Exceeding 6 %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</si>
  <si>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Yogurt: Containing added chocolate, spices, coffee or coffee extract, plants, parts of plants, cereals or bakers’ wares: Containing, by weight, less than 1,5 % milkfat, 5 % sucrose (including invert sugar) or isoglucose, 5 % glucose or starch</t>
  </si>
  <si>
    <t>Containing added chocolate, spices, coffee or coffee extract, plants, parts of plants, cereals or bakers’ wares: Containing, by weight, less than 1,5 % milkfat, 5 % sucrose (including invert sugar) or isoglucose, 5 % glucose or starch</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</si>
  <si>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Yogurt: Containing added chocolate, spices, coffee or coffee extract, plants, parts of plants, cereals or bakers’ wares: Other</t>
  </si>
  <si>
    <t>Containing added chocolate, spices, coffee or coffee extract, plants, parts of plants, cereals or bakers’ wares: Other</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</si>
  <si>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Yogurt: Other, flavoured or containing added fruit, nuts or cocoa: In powder, granules or other solid forms, of a milkfat content, by weight: Not exceeding 1,5 %</t>
  </si>
  <si>
    <t>Other, flavoured or containing added fruit, nuts or cocoa: In powder, granules or other solid forms, of a milkfat content, by weight: Not exceeding 1,5 %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</si>
  <si>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Yogurt: Other, flavoured or containing added fruit, nuts or cocoa: In powder, granules or other solid forms, of a milkfat content, by weight: Exceeding 1,5 % but not exceeding 27 %</t>
  </si>
  <si>
    <t>Other, flavoured or containing added fruit, nuts or cocoa: In powder, granules or other solid forms, of a milkfat content, by weight: Exceeding 1,5 % but not exceeding 27 %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</si>
  <si>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Yogurt: Other, flavoured or containing added fruit, nuts or cocoa: In powder, granules or other solid forms, of a milkfat content, by weight: Exceeding 27 %</t>
  </si>
  <si>
    <t>Other, flavoured or containing added fruit, nuts or cocoa: In powder, granules or other solid forms, of a milkfat content, by weight: Exceeding 27 %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</si>
  <si>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Yogurt: Other, flavoured or containing added fruit, nuts or cocoa: Other, of a milkfat content, by weight: Not exceeding 3 %</t>
  </si>
  <si>
    <t>Other, flavoured or containing added fruit, nuts or cocoa: Other, of a milkfat content, by weight: Not exceeding 3 %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</si>
  <si>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Yogurt: Other, flavoured or containing added fruit, nuts or cocoa: Other, of a milkfat content, by weight: Exceeding 3 % but not exceeding 6 %</t>
  </si>
  <si>
    <t>Other, flavoured or containing added fruit, nuts or cocoa: Other, of a milkfat content, by weight: Exceeding 3 % but not exceeding 6 %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</si>
  <si>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Yogurt: Other, flavoured or containing added fruit, nuts or cocoa: Other, of a milkfat content, by weight: Exceeding 6 %</t>
  </si>
  <si>
    <t>Other, flavoured or containing added fruit, nuts or cocoa: Other, of a milkfat content, by weight: Exceeding 6 %</t>
  </si>
  <si>
    <t>CHAPTER 4 - DAIRY PRODUCE; BIRDS' EGGS; NATURAL HONEY; EDIBLE PRODUCTS OF ANIMAL ORIGIN, NOT ELSEWHERE SPECIFIED OR INCLUDED: Edible products of animal origin, not elsewhere specified or included</t>
  </si>
  <si>
    <t>Insects and other edible products of animal origin, not elsewhere specified or included</t>
  </si>
  <si>
    <t>Edible products of animal origin, not elsewhere specified or included.</t>
  </si>
  <si>
    <t>CHAPTER 4 - DAIRY PRODUCE; BIRDS' EGGS; NATURAL HONEY; EDIBLE PRODUCTS OF ANIMAL ORIGIN, NOT ELSEWHERE SPECIFIED OR INCLUDED: Insects and other edible products of animal origin, not elsewhere specified or included: Insects: Fresh, chilled or frozen</t>
  </si>
  <si>
    <t>Fresh, chilled or frozen</t>
  </si>
  <si>
    <t>CHAPTER 4 - DAIRY PRODUCE; BIRDS' EGGS; NATURAL HONEY; EDIBLE PRODUCTS OF ANIMAL ORIGIN, NOT ELSEWHERE SPECIFIED OR INCLUDED: Insects and other edible products of animal origin, not elsewhere specified or included: Insects: Other: Edible flours and meals of meat or meat offal</t>
  </si>
  <si>
    <t>Other: Edible flours and meals of meat or meat offal</t>
  </si>
  <si>
    <t>CHAPTER 4 - DAIRY PRODUCE; BIRDS' EGGS; NATURAL HONEY; EDIBLE PRODUCTS OF ANIMAL ORIGIN, NOT ELSEWHERE SPECIFIED OR INCLUDED: Insects and other edible products of animal origin, not elsewhere specified or included: Insects: Other: Other</t>
  </si>
  <si>
    <t>Other: Other</t>
  </si>
  <si>
    <t>CHAPTER 4 - DAIRY PRODUCE; BIRDS' EGGS; NATURAL HONEY; EDIBLE PRODUCTS OF ANIMAL ORIGIN, NOT ELSEWHERE SPECIFIED OR INCLUDED: Insects and other edible products of animal origin, not elsewhere specified or included: Other</t>
  </si>
  <si>
    <t>CHAPTER 7 - EDIBLE VEGETABLES AND CERTAIN ROOTS AND TUBERS: Cabbages, cauliflowers, kohlrabi, kale and similar edible brassicas, fresh or chilled: Cauliflowers and headed broccoli</t>
  </si>
  <si>
    <t>CHAPTER 7 - EDIBLE VEGETABLES AND CERTAIN ROOTS AND TUBERS</t>
  </si>
  <si>
    <t>Cabbages, cauliflowers, kohlrabi, kale and similar edible brassicas, fresh or chilled</t>
  </si>
  <si>
    <t>Cauliflowers and headed broccoli</t>
  </si>
  <si>
    <t>CHAPTER 7 - EDIBLE VEGETABLES AND CERTAIN ROOTS AND TUBERS: Cabbages, cauliflowers, kohlrabi, kale and similar edible brassicas, fresh or chilled: Cauliflowers and broccoli: Cauliflowers and headed broccoli</t>
  </si>
  <si>
    <t>CHAPTER 7 - EDIBLE VEGETABLES AND CERTAIN ROOTS AND TUBERS: Cabbages, cauliflowers, kohlrabi, kale and similar edible brassicas, fresh or chilled: Cauliflowers and broccoli: Other</t>
  </si>
  <si>
    <t>CHAPTER 7 - EDIBLE VEGETABLES AND CERTAIN ROOTS AND TUBERS: Other vegetables, fresh or chilled: Mushrooms and truffles: Mushrooms of the genus Boletus</t>
  </si>
  <si>
    <t>Mushrooms and truffles: Mushrooms of the genus Boletus</t>
  </si>
  <si>
    <t>Other vegetables, fresh or chilled</t>
  </si>
  <si>
    <t>Mushrooms and truffles :</t>
  </si>
  <si>
    <t>CHAPTER 7 - EDIBLE VEGETABLES AND CERTAIN ROOTS AND TUBERS: Other vegetables, fresh or chilled: Mushrooms and truffles: Mushrooms of the genus Cantharellus</t>
  </si>
  <si>
    <t>Mushrooms and truffles: Mushrooms of the genus Cantharellus</t>
  </si>
  <si>
    <t>CHAPTER 7 - EDIBLE VEGETABLES AND CERTAIN ROOTS AND TUBERS: Other vegetables, fresh or chilled: Mushrooms and truffles: Shiitake (Lentinus edodes)</t>
  </si>
  <si>
    <t>Mushrooms and truffles: Shiitake (Lentinus edodes)</t>
  </si>
  <si>
    <t>CHAPTER 7 - EDIBLE VEGETABLES AND CERTAIN ROOTS AND TUBERS: Other vegetables, fresh or chilled: Mushrooms and truffles: Matsutake (Tricholoma matsutake, Tricholoma magnivelare, Tricholoma anatolicum, Tricholoma dulciolens, Tricholoma caligatum)</t>
  </si>
  <si>
    <t>Mushrooms and truffles: Matsutake (Tricholoma matsutake, Tricholoma magnivelare, Tricholoma anatolicum, Tricholoma dulciolens, Tricholoma caligatum)</t>
  </si>
  <si>
    <t>CHAPTER 7 - EDIBLE VEGETABLES AND CERTAIN ROOTS AND TUBERS: Other vegetables, fresh or chilled: Mushrooms and truffles: Truffles (Tuber spp.)</t>
  </si>
  <si>
    <t>Mushrooms and truffles: Truffles (Tuber spp.)</t>
  </si>
  <si>
    <t>CHAPTER 7 - EDIBLE VEGETABLES AND CERTAIN ROOTS AND TUBERS: Other vegetables, fresh or chilled: Mushrooms and truffles: Other</t>
  </si>
  <si>
    <t>Mushrooms and truffles: Other</t>
  </si>
  <si>
    <t>Mushrooms and truffles :"Other</t>
  </si>
  <si>
    <t>CHAPTER 7 - EDIBLE VEGETABLES AND CERTAIN ROOTS AND TUBERS: Other vegetables, fresh or chilled: Mushrooms and truffles: Other: Chanterelles</t>
  </si>
  <si>
    <t>CHAPTER 7 - EDIBLE VEGETABLES AND CERTAIN ROOTS AND TUBERS: Other vegetables, fresh or chilled: Mushrooms and truffles: Other: Flap mushrooms</t>
  </si>
  <si>
    <t>CHAPTER 7 - EDIBLE VEGETABLES AND CERTAIN ROOTS AND TUBERS: Other vegetables, fresh or chilled: Mushrooms and truffles: Other: Truffles</t>
  </si>
  <si>
    <t>CHAPTER 7 - EDIBLE VEGETABLES AND CERTAIN ROOTS AND TUBERS: Other vegetables, fresh or chilled: Mushrooms and truffles: Other: Other</t>
  </si>
  <si>
    <t>CHAPTER 7 - EDIBLE VEGETABLES AND CERTAIN ROOTS AND TUBERS: Dried vegetables, whole, cut, sliced, broken or in powder, but not further prepared: Mushrooms, wood ears (Auricularia spp.), jelly fungi (Tremella spp.) and truffles: Shiitake (Lentinus edodes)</t>
  </si>
  <si>
    <t>Mushrooms, wood ears (Auricularia spp.), jelly fungi (Tremella spp.) and truffles: Shiitake (Lentinus edodes)</t>
  </si>
  <si>
    <t>Dried vegetables, whole, cut, sliced, broken or in powder, but not further prepared</t>
  </si>
  <si>
    <t>Mushrooms, wood ears (Auricularia spp.), jelly fungi (Tremella spp.) and truffles :</t>
  </si>
  <si>
    <t>CHAPTER 8 - EDIBLE FRUIT AND NUTS; PEEL OF CITRUS FRUIT OR MELONS: Other nuts, fresh or dried, whether or not shelled or peeled: Other: Pecans</t>
  </si>
  <si>
    <t>CHAPTER 8 - EDIBLE FRUIT AND NUTS; PEEL OF CITRUS FRUIT OR MELONS</t>
  </si>
  <si>
    <t>Other nuts, fresh or dried, whether or not shelled or peeled</t>
  </si>
  <si>
    <t>CHAPTER 8 - EDIBLE FRUIT AND NUTS; PEEL OF CITRUS FRUIT OR MELONS: Other nuts, fresh or dried, whether or not shelled or peeled: Other: Pine nuts (Pinus spp.)</t>
  </si>
  <si>
    <t>CHAPTER 8 - EDIBLE FRUIT AND NUTS; PEEL OF CITRUS FRUIT OR MELONS: Other nuts, fresh or dried, whether or not shelled or peeled: Other: Other</t>
  </si>
  <si>
    <t>CHAPTER 8 - EDIBLE FRUIT AND NUTS; PEEL OF CITRUS FRUIT OR MELONS: Other nuts, fresh or dried, whether or not shelled or peeled: Other: Pine nuts, in shell</t>
  </si>
  <si>
    <t>Other: Pine nuts, in shell</t>
  </si>
  <si>
    <t>CHAPTER 8 - EDIBLE FRUIT AND NUTS; PEEL OF CITRUS FRUIT OR MELONS: Other nuts, fresh or dried, whether or not shelled or peeled: Other: Pine nuts, shelled</t>
  </si>
  <si>
    <t>Other: Pine nuts, shelled</t>
  </si>
  <si>
    <t>CHAPTER 8 - EDIBLE FRUIT AND NUTS; PEEL OF CITRUS FRUIT OR MELONS: Other nuts, fresh or dried, whether or not shelled or peeled: Other: Other: Pecans</t>
  </si>
  <si>
    <t>Pecans</t>
  </si>
  <si>
    <t>CHAPTER 8 - EDIBLE FRUIT AND NUTS; PEEL OF CITRUS FRUIT OR MELONS: Other nuts, fresh or dried, whether or not shelled or peeled: Other: Other: Other</t>
  </si>
  <si>
    <t>CHAPTER 12 - OIL SEEDS AND OLEAGINOUS FRUITS; MISCELLANEOUS GRAINS, SEEDS AND FRUIT; INDUSTRIAL OR MEDICINAL PLANTS; STRAW AND FODDER: Plants and parts of plants (including seeds and fruits), of a kind used primarily in perfumery, in pharmacy or for insecticidal, fungicidal or similar purposes, fresh, chilled, frozen or dried, whether or not cut, crushed or powdered: Bark of African cherry (Prunus africana)</t>
  </si>
  <si>
    <t>Bark of African cherry (Prunus africana)</t>
  </si>
  <si>
    <t>CHAPTER 12 - OIL SEEDS AND OLEAGINOUS FRUITS; MISCELLANEOUS GRAINS, SEEDS AND FRUIT; INDUSTRIAL OR MEDICINAL PLANTS; STRAW AND FODDER</t>
  </si>
  <si>
    <t>Plants and parts of plants (including seeds and fruits), of a kind used primarily in perfumery, in pharmacy or for insecticidal, fungicidal or similar purposes, fresh, chilled, frozen or dried, whether or not cut, crushed or powdered</t>
  </si>
  <si>
    <t>CHAPTER 15 - ANIMAL OR VEGETABLE FATS AND OILS AND THEIR CLEAVAGE PRODUCTS; PREPARED EDIBLE FATS; ANIMAL OR VEGETABLE WAXES: Olive oil and its fractions, whether or not refined, but not chemically modified: Virgin: Lampante olive oil</t>
  </si>
  <si>
    <t>CHAPTER 15 - ANIMAL, VEGETABLE OR MICROBIAL FATS AND OILS AND THEIR CLEAVAGE PRODUCTS; PREPARED EDIBLE FATS; ANIMAL OR VEGETABLE WAXES</t>
  </si>
  <si>
    <t>Olive oil and its fractions, whether or not refined, but not chemically modified</t>
  </si>
  <si>
    <t>Virgin</t>
  </si>
  <si>
    <t>CHAPTER 15 - ANIMAL OR VEGETABLE FATS AND OILS AND THEIR CLEAVAGE PRODUCTS; PREPARED EDIBLE FATS; ANIMAL OR VEGETABLE WAXES: Olive oil and its fractions, whether or not refined, but not chemically modified: Virgin: Extra virgin olive oil</t>
  </si>
  <si>
    <t>CHAPTER 15 - ANIMAL OR VEGETABLE FATS AND OILS AND THEIR CLEAVAGE PRODUCTS; PREPARED EDIBLE FATS; ANIMAL OR VEGETABLE WAXES: Olive oil and its fractions, whether or not refined, but not chemically modified: Virgin: Other</t>
  </si>
  <si>
    <t>CHAPTER 15 - ANIMAL, VEGETABLE OR MICROBIAL FATS AND OILS AND THEIR CLEAVAGE PRODUCTS; PREPARED EDIBLE FATS; ANIMAL OR VEGETABLE WAXES: Olive oil and its fractions, whether or not refined, but not chemically modified: Extra virgin olive oil</t>
  </si>
  <si>
    <t>Extra virgin olive oil</t>
  </si>
  <si>
    <t>CHAPTER 15 - ANIMAL, VEGETABLE OR MICROBIAL FATS AND OILS AND THEIR CLEAVAGE PRODUCTS; PREPARED EDIBLE FATS; ANIMAL OR VEGETABLE WAXES: Olive oil and its fractions, whether or not refined, but not chemically modified: Virgin olive oil</t>
  </si>
  <si>
    <t>Virgin olive oil</t>
  </si>
  <si>
    <t>CHAPTER 15 - ANIMAL, VEGETABLE OR MICROBIAL FATS AND OILS AND THEIR CLEAVAGE PRODUCTS; PREPARED EDIBLE FATS; ANIMAL OR VEGETABLE WAXES: Olive oil and its fractions, whether or not refined, but not chemically modified: Other virgin olive oils</t>
  </si>
  <si>
    <t>Other virgin olive oils</t>
  </si>
  <si>
    <t>CHAPTER 15 - ANIMAL OR VEGETABLE FATS AND OILS AND THEIR CLEAVAGE PRODUCTS; PREPARED EDIBLE FATS; ANIMAL OR VEGETABLE WAXES: Other oils and their fractions, obtained solely from olives, whether or not refined, but not chemically modified, including blends of these oils or fractions with oils or fractions of heading 1509: Crude oils</t>
  </si>
  <si>
    <t>Other oils and their fractions, obtained solely from olives, whether or not refined, but not chemically modified, including blends of these oils or fractions with oils or fractions of heading 1509</t>
  </si>
  <si>
    <t>Other oils and their fractions, obtained solely from olives, whether or not refined, but not chemically modified, including blends of these oils or fractions with oils or fractions of heading 15.09.</t>
  </si>
  <si>
    <t>CHAPTER 15 - ANIMAL OR VEGETABLE FATS AND OILS AND THEIR CLEAVAGE PRODUCTS; PREPARED EDIBLE FATS; ANIMAL OR VEGETABLE WAXES: Other oils and their fractions, obtained solely from olives, whether or not refined, but not chemically modified, including blends of these oils or fractions with oils or fractions of heading 1509: Other</t>
  </si>
  <si>
    <t>CHAPTER 15 - ANIMAL, VEGETABLE OR MICROBIAL FATS AND OILS AND THEIR CLEAVAGE PRODUCTS; PREPARED EDIBLE FATS; ANIMAL OR VEGETABLE WAXES: Other oils and their fractions, obtained solely from olives, whether or not refined, but not chemically modified, including blends of these oils or fractions with oils or fractions of heading 1509: Crude olive pomace oil</t>
  </si>
  <si>
    <t>Crude olive pomace oil</t>
  </si>
  <si>
    <t>CHAPTER 15 - ANIMAL, VEGETABLE OR MICROBIAL FATS AND OILS AND THEIR CLEAVAGE PRODUCTS; PREPARED EDIBLE FATS; ANIMAL OR VEGETABLE WAXES: Other oils and their fractions, obtained solely from olives, whether or not refined, but not chemically modified, including blends of these oils or fractions with oils or fractions of heading 1509: Other</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</si>
  <si>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Microbial fats and oils and their fractions: Crude oils: For technical or industrial uses other than the manufacture of foodstuffs for human consumption</t>
  </si>
  <si>
    <t>Crude oils: For technical or industrial uses other than the manufacture of foodstuffs for human consumption</t>
  </si>
  <si>
    <t>Other fixed vegetable or microbial fats and oils (including jojoba oil) and their fractions, whether or not refined, but not chemically modified</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</si>
  <si>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Microbial fats and oils and their fractions: Crude oils: Other: Solid, in immediate packings of a net content not exceeding 1 kg</t>
  </si>
  <si>
    <t>Crude oils: Other: Solid, in immediate packings of a net content not exceeding 1 kg</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</si>
  <si>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Microbial fats and oils and their fractions: Crude oils: Other: Solid, other; fluid</t>
  </si>
  <si>
    <t>Crude oils: Other: Solid, other; fluid</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</si>
  <si>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Microbial fats and oils and their fractions: Other: For technical or industrial uses other than the manufacture of foodstuffs for human consumption</t>
  </si>
  <si>
    <t>Other: For technical or industrial uses other than the manufacture of foodstuffs for human consumption</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</si>
  <si>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Microbial fats and oils and their fractions: Other: Other: Solid, in immediate packings of a net content not exceeding 1 kg</t>
  </si>
  <si>
    <t>Other: Other: Solid, in immediate packings of a net content not exceeding 1 kg</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</si>
  <si>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Microbial fats and oils and their fractions: Other: Other: Solid, other; fluid</t>
  </si>
  <si>
    <t>Other: Other: Solid, other; fluid</t>
  </si>
  <si>
    <t>CHAPTER 15 - ANIMAL, VEGETABLE OR MICROBIAL FATS AND OILS AND THEIR CLEAVAGE PRODUCTS; PREPARED EDIBLE FATS; ANIMAL OR VEGETABLE WAXES: Animal, vegetable or microbial fats and oils and their fractions, partly or wholly hydrogenated, inter-esterified, re-esterified or elaidinised, whether or not refined, but not further prepared: Microbial fats and oils and their fractions: In immediate packings of a net content not exceeding 1 kg</t>
  </si>
  <si>
    <t>In immediate packings of a net content not exceeding 1 kg</t>
  </si>
  <si>
    <t>Animal, vegetable or microbial fats and oils and their fractions, partly or wholly hydrogenated, inter-esterified, re-esterified or elaidinised, whether or not refined, but not further prepared</t>
  </si>
  <si>
    <t>CHAPTER 15 - ANIMAL, VEGETABLE OR MICROBIAL FATS AND OILS AND THEIR CLEAVAGE PRODUCTS; PREPARED EDIBLE FATS; ANIMAL OR VEGETABLE WAXES: Animal, vegetable or microbial fats and oils and their fractions, partly or wholly hydrogenated, inter-esterified, re-esterified or elaidinised, whether or not refined, but not further prepared: Microbial fats and oils and their fractions: Other</t>
  </si>
  <si>
    <t>CHAPTER 24 - TOBACCO AND MANUFACTURED TOBACCO SUBSTITUTES; PRODUCTS, WHETHER OR NOT CONTAINING NICOTINE, INTENDED FOR INHALATION WITHOUT COMBUSTION; OTHER NICOTINE CONTAINING PRODUCTS INTENDED FOR THE INTAKE OF NICOTINE INTO THE HUMAN BODY: Products containing tobacco, reconstituted tobacco, nicotine, or tobacco or nicotine substitutes, intended for inhalation without combustion; other nicotine containing products intended for the intake of nicotine into the human body: Products intended for inhalation without combustion: Containing tobacco or reconstituted tobacco</t>
  </si>
  <si>
    <t>Products intended for inhalation without combustion: Containing tobacco or reconstituted tobacco</t>
  </si>
  <si>
    <t>CHAPTER 24 - TOBACCO AND MANUFACTURED TOBACCO SUBSTITUTES; PRODUCTS, WHETHER OR NOT CONTAINING NICOTINE, INTENDED FOR INHALATION WITHOUT COMBUSTION; OTHER NICOTINE CONTAINING PRODUCTS INTENDED FOR THE INTAKE OF NICOTINE INTO THE HUMAN BODY</t>
  </si>
  <si>
    <t>Products containing tobacco, reconstituted tobacco, nicotine, or tobacco or nicotine substitutes, intended for inhalation without combustion; other nicotine containing products intended for the intake of nicotine into the human body</t>
  </si>
  <si>
    <t>CHAPTER 24 - TOBACCO AND MANUFACTURED TOBACCO SUBSTITUTES; PRODUCTS, WHETHER OR NOT CONTAINING NICOTINE, INTENDED FOR INHALATION WITHOUT COMBUSTION; OTHER NICOTINE CONTAINING PRODUCTS INTENDED FOR THE INTAKE OF NICOTINE INTO THE HUMAN BODY: Products containing tobacco, reconstituted tobacco, nicotine, or tobacco or nicotine substitutes, intended for inhalation without combustion; other nicotine containing products intended for the intake of nicotine into the human body: Products intended for inhalation without combustion: Other, containing nicotine</t>
  </si>
  <si>
    <t>Products intended for inhalation without combustion: Other, containing nicotine</t>
  </si>
  <si>
    <t>CHAPTER 24 - TOBACCO AND MANUFACTURED TOBACCO SUBSTITUTES; PRODUCTS, WHETHER OR NOT CONTAINING NICOTINE, INTENDED FOR INHALATION WITHOUT COMBUSTION; OTHER NICOTINE CONTAINING PRODUCTS INTENDED FOR THE INTAKE OF NICOTINE INTO THE HUMAN BODY: Products containing tobacco, reconstituted tobacco, nicotine, or tobacco or nicotine substitutes, intended for inhalation without combustion; other nicotine containing products intended for the intake of nicotine into the human body: Products intended for inhalation without combustion: Other: Containing tobacco substitutes</t>
  </si>
  <si>
    <t>Containing tobacco substitutes</t>
  </si>
  <si>
    <t>CHAPTER 24 - TOBACCO AND MANUFACTURED TOBACCO SUBSTITUTES; PRODUCTS, WHETHER OR NOT CONTAINING NICOTINE, INTENDED FOR INHALATION WITHOUT COMBUSTION; OTHER NICOTINE CONTAINING PRODUCTS INTENDED FOR THE INTAKE OF NICOTINE INTO THE HUMAN BODY: Products containing tobacco, reconstituted tobacco, nicotine, or tobacco or nicotine substitutes, intended for inhalation without combustion; other nicotine containing products intended for the intake of nicotine into the human body: Products intended for inhalation without combustion: Other: Other</t>
  </si>
  <si>
    <t>CHAPTER 24 - TOBACCO AND MANUFACTURED TOBACCO SUBSTITUTES; PRODUCTS, WHETHER OR NOT CONTAINING NICOTINE, INTENDED FOR INHALATION WITHOUT COMBUSTION; OTHER NICOTINE CONTAINING PRODUCTS INTENDED FOR THE INTAKE OF NICOTINE INTO THE HUMAN BODY: Products containing tobacco, reconstituted tobacco, nicotine, or tobacco or nicotine substitutes, intended for inhalation without combustion; other nicotine containing products intended for the intake of nicotine into the human body: Other: For oral application: Nicotine containing products intended to assist tobacco use cessation</t>
  </si>
  <si>
    <t>Nicotine containing products intended to assist tobacco use cessation</t>
  </si>
  <si>
    <t>CHAPTER 24 - TOBACCO AND MANUFACTURED TOBACCO SUBSTITUTES; PRODUCTS, WHETHER OR NOT CONTAINING NICOTINE, INTENDED FOR INHALATION WITHOUT COMBUSTION; OTHER NICOTINE CONTAINING PRODUCTS INTENDED FOR THE INTAKE OF NICOTINE INTO THE HUMAN BODY: Products containing tobacco, reconstituted tobacco, nicotine, or tobacco or nicotine substitutes, intended for inhalation without combustion; other nicotine containing products intended for the intake of nicotine into the human body: Other: For oral application: Other</t>
  </si>
  <si>
    <t>CHAPTER 24 - TOBACCO AND MANUFACTURED TOBACCO SUBSTITUTES; PRODUCTS, WHETHER OR NOT CONTAINING NICOTINE, INTENDED FOR INHALATION WITHOUT COMBUSTION; OTHER NICOTINE CONTAINING PRODUCTS INTENDED FOR THE INTAKE OF NICOTINE INTO THE HUMAN BODY: Products containing tobacco, reconstituted tobacco, nicotine, or tobacco or nicotine substitutes, intended for inhalation without combustion; other nicotine containing products intended for the intake of nicotine into the human body: Other: For transdermal application</t>
  </si>
  <si>
    <t>Other: For transdermal application</t>
  </si>
  <si>
    <t>CHAPTER 24 - TOBACCO AND MANUFACTURED TOBACCO SUBSTITUTES; PRODUCTS, WHETHER OR NOT CONTAINING NICOTINE, INTENDED FOR INHALATION WITHOUT COMBUSTION; OTHER NICOTINE CONTAINING PRODUCTS INTENDED FOR THE INTAKE OF NICOTINE INTO THE HUMAN BODY: Products containing tobacco, reconstituted tobacco, nicotine, or tobacco or nicotine substitutes, intended for inhalation without combustion; other nicotine containing products intended for the intake of nicotine into the human body: Other: Other</t>
  </si>
  <si>
    <t>CHAPTER 25 - SALT; SULPHUR; EARTHS AND STONE; PLASTERING MATERIALS, LIME AND CEMENT: Dolomite, whether or not calcined or sintered, including dolomite roughly trimmed or merely cut, by sawing or otherwise, into blocks or slabs of a rectangular (including square) shape; dolomite ramming mix: Dolomite ramming mix</t>
  </si>
  <si>
    <t>CHAPTER 25 - SALT; SULPHUR; EARTHS AND STONE; PLASTERING MATERIALS, LIME AND CEMENT</t>
  </si>
  <si>
    <t>Dolomite, whether or not calcined or sintered, including dolomite roughly trimmed or merely cut, by sawing or otherwise, into blocks or slabs of a rectangular (including square) shape</t>
  </si>
  <si>
    <t>Dolomite ramming mix</t>
  </si>
  <si>
    <t>CHAPTER 28 - INORGANIC CHEMICALS; ORGANIC OR INORGANIC COMPOUNDS OF PRECIOUS METALS, OF RARE-EARTH METALS, OF RADIOACTIVE ELEMENTS OR OF ISOTOPES: Radioactive chemical elements and radioactive isotopes (including the fissile or fertile chemical elements and isotopes) and their compounds; mixtures and residues containing these products: Radioactive elements and isotopes and compounds other than those of subheading 284410, 284420 or 284430; alloys, dispersions (including cermets), ceramic products and mixtures containing these elements, isotopes or compounds; radioactive residues: Uranium derived from U 233 and its compounds; alloys, dispersions (including cermets), ceramic products and mixtures and compounds derived from U 233 or compounds of this product</t>
  </si>
  <si>
    <t>CHAPTER 28 - INORGANIC CHEMICALS; ORGANIC OR INORGANIC COMPOUNDS OF PRECIOUS METALS, OF RARE-EARTH METALS, OF RADIOACTIVE ELEMENTS OR OF ISOTOPES</t>
  </si>
  <si>
    <t>Radioactive chemical elements and radioactive isotopes (including the fissile or fertile chemical elements and isotopes) and their compounds; mixtures and residues containing these products</t>
  </si>
  <si>
    <t>Radioactive elements and isotopes and compounds other than those of subheading 2844.10, 2844.20 or 2844.30; alloys, dispersions (including cermets), ceramic products and mixtures containing these elements, isotopes or compounds; radioactive residues</t>
  </si>
  <si>
    <t>CHAPTER 28 - INORGANIC CHEMICALS; ORGANIC OR INORGANIC COMPOUNDS OF PRECIOUS METALS, OF RARE-EARTH METALS, OF RADIOACTIVE ELEMENTS OR OF ISOTOPES: Radioactive chemical elements and radioactive isotopes (including the fissile or fertile chemical elements and isotopes) and their compounds; mixtures and residues containing these products: Radioactive elements and isotopes and compounds other than those of subheading 284410, 284420 or 284430; alloys, dispersions (including cermets), ceramic products and mixtures containing these elements, isotopes or compounds; radioactive residues: Other: Artificial radioactive isotopes (Euratom)</t>
  </si>
  <si>
    <t>CHAPTER 28 - INORGANIC CHEMICALS; ORGANIC OR INORGANIC COMPOUNDS OF PRECIOUS METALS, OF RARE-EARTH METALS, OF RADIOACTIVE ELEMENTS OR OF ISOTOPES: Radioactive chemical elements and radioactive isotopes (including the fissile or fertile chemical elements and isotopes) and their compounds; mixtures and residues containing these products: Radioactive elements and isotopes and compounds other than those of subheading 284410, 284420 or 284430; alloys, dispersions (including cermets), ceramic products and mixtures containing these elements, isotopes or compounds; radioactive residues: Other: Compounds of artificial radioactive isotopes (Euratom)</t>
  </si>
  <si>
    <t>CHAPTER 28 - INORGANIC CHEMICALS; ORGANIC OR INORGANIC COMPOUNDS OF PRECIOUS METALS, OF RARE-EARTH METALS, OF RADIOACTIVE ELEMENTS OR OF ISOTOPES: Radioactive chemical elements and radioactive isotopes (including the fissile or fertile chemical elements and isotopes) and their compounds; mixtures and residues containing these products: Radioactive elements and isotopes and compounds other than those of subheading 284410, 284420 or 284430; alloys, dispersions (including cermets), ceramic products and mixtures containing these elements, isotopes or compounds; radioactive residues: Other: Other</t>
  </si>
  <si>
    <t>CHAPTER 28 - INORGANIC CHEMICALS; ORGANIC OR INORGANIC COMPOUNDS OF PRECIOUS METALS, OF RARE-EARTH METALS, OF RADIOACTIVE ELEMENTS OR OF ISOTOPES: Radioactive chemical elements and radioactive isotopes (including the fissile or fertile chemical elements and isotopes) and their compounds; mixtures and residues containing these products: Radioactive elements and isotopes and compounds other than those of subheading 284410, 284420 or 284430; alloys, dispersions (including cermets), ceramic products and mixtures containing these elements, isotopes or compounds; radioactive residues: Tritium and its compounds; alloys, dispersions (including cermets), ceramic products and mixtures containing tritium or its compounds: Artificial radioactive isotope (Euratom); compounds of artificial radioactive isotope (Euratom)</t>
  </si>
  <si>
    <t>Artificial radioactive isotope (Euratom); compounds of artificial radioactive isotope (Euratom)</t>
  </si>
  <si>
    <t>CHAPTER 28 - INORGANIC CHEMICALS; ORGANIC OR INORGANIC COMPOUNDS OF PRECIOUS METALS, OF RARE-EARTH METALS, OF RADIOACTIVE ELEMENTS OR OF ISOTOPES: Radioactive chemical elements and radioactive isotopes (including the fissile or fertile chemical elements and isotopes) and their compounds; mixtures and residues containing these products: Radioactive elements and isotopes and compounds other than those of subheading 284410, 284420 or 284430; alloys, dispersions (including cermets), ceramic products and mixtures containing these elements, isotopes or compounds; radioactive residues: Tritium and its compounds; alloys, dispersions (including cermets), ceramic products and mixtures containing tritium or its compounds: Other</t>
  </si>
  <si>
    <t>CHAPTER 28 - INORGANIC CHEMICALS; ORGANIC OR INORGANIC COMPOUNDS OF PRECIOUS METALS, OF RARE-EARTH METALS, OF RADIOACTIVE ELEMENTS OR OF ISOTOPES: Radioactive chemical elements and radioactive isotopes (including the fissile or fertile chemical elements and isotopes) and their compounds; mixtures and residues containing these products: Radioactive elements and isotopes and compounds other than those of subheading 284410, 284420 or 284430; alloys, dispersions (including cermets), ceramic products and mixtures containing these elements, isotopes or compounds; radioactive residues: Actinium-225, actinium-227, californium-253, curium-240, curium-241, curium-242, curium-243, curium-244, einsteinium-253, einsteinium-254, gadolinium-148, polonium-208, polonium-209, polonium-210, radium-223, uranium-230 or uranium-232, and their compounds; alloys, dispersions (including cermets), ceramic products and mixtures containing these elements or compounds: Artificial radioactive isotopes (Euratom); compounds of artificial radioactive isotopes (Euratom)</t>
  </si>
  <si>
    <t>Artificial radioactive isotopes (Euratom); compounds of artificial radioactive isotopes (Euratom)</t>
  </si>
  <si>
    <t>CHAPTER 28 - INORGANIC CHEMICALS; ORGANIC OR INORGANIC COMPOUNDS OF PRECIOUS METALS, OF RARE-EARTH METALS, OF RADIOACTIVE ELEMENTS OR OF ISOTOPES: Radioactive chemical elements and radioactive isotopes (including the fissile or fertile chemical elements and isotopes) and their compounds; mixtures and residues containing these products: Radioactive elements and isotopes and compounds other than those of subheading 284410, 284420 or 284430; alloys, dispersions (including cermets), ceramic products and mixtures containing these elements, isotopes or compounds; radioactive residues: Actinium-225, actinium-227, californium-253, curium-240, curium-241, curium-242, curium-243, curium-244, einsteinium-253, einsteinium-254, gadolinium-148, polonium-208, polonium-209, polonium-210, radium-223, uranium-230 or uranium-232, and their compounds; alloys, dispersions (including cermets), ceramic products and mixtures containing these elements or compounds: Other</t>
  </si>
  <si>
    <t>CHAPTER 28 - INORGANIC CHEMICALS; ORGANIC OR INORGANIC COMPOUNDS OF PRECIOUS METALS, OF RARE-EARTH METALS, OF RADIOACTIVE ELEMENTS OR OF ISOTOPES: Radioactive chemical elements and radioactive isotopes (including the fissile or fertile chemical elements and isotopes) and their compounds; mixtures and residues containing these products: Radioactive elements and isotopes and compounds other than those of subheading 284410, 284420 or 284430; alloys, dispersions (including cermets), ceramic products and mixtures containing these elements, isotopes or compounds; radioactive residues: Other radioactive elements and isotopes and compounds; other alloys, dispersions (including cermets), ceramic products and mixtures containing these elements, isotopes or compounds: Uranium derived from U 233 and its compounds; alloys, dispersions (including cermets), ceramic products and mixtures and compounds derived from U 233 or compounds of this product</t>
  </si>
  <si>
    <t>Uranium derived from U 233 and its compounds; alloys, dispersions (including cermets), ceramic products and mixtures and compounds derived from U 233 or compounds of this product</t>
  </si>
  <si>
    <t>CHAPTER 28 - INORGANIC CHEMICALS; ORGANIC OR INORGANIC COMPOUNDS OF PRECIOUS METALS, OF RARE-EARTH METALS, OF RADIOACTIVE ELEMENTS OR OF ISOTOPES: Radioactive chemical elements and radioactive isotopes (including the fissile or fertile chemical elements and isotopes) and their compounds; mixtures and residues containing these products: Radioactive elements and isotopes and compounds other than those of subheading 284410, 284420 or 284430; alloys, dispersions (including cermets), ceramic products and mixtures containing these elements, isotopes or compounds; radioactive residues: Other radioactive elements and isotopes and compounds; other alloys, dispersions (including cermets), ceramic products and mixtures containing these elements, isotopes or compounds: Artificial radioactive isotopes (Euratom); compounds of artificial radioactive isotopes (Euratom)</t>
  </si>
  <si>
    <t>CHAPTER 28 - INORGANIC CHEMICALS; ORGANIC OR INORGANIC COMPOUNDS OF PRECIOUS METALS, OF RARE-EARTH METALS, OF RADIOACTIVE ELEMENTS OR OF ISOTOPES: Radioactive chemical elements and radioactive isotopes (including the fissile or fertile chemical elements and isotopes) and their compounds; mixtures and residues containing these products: Radioactive elements and isotopes and compounds other than those of subheading 284410, 284420 or 284430; alloys, dispersions (including cermets), ceramic products and mixtures containing these elements, isotopes or compounds; radioactive residues: Other radioactive elements and isotopes and compounds; other alloys, dispersions (including cermets), ceramic products and mixtures containing these elements, isotopes or compounds: Other</t>
  </si>
  <si>
    <t>CHAPTER 28 - INORGANIC CHEMICALS; ORGANIC OR INORGANIC COMPOUNDS OF PRECIOUS METALS, OF RARE-EARTH METALS, OF RADIOACTIVE ELEMENTS OR OF ISOTOPES: Radioactive chemical elements and radioactive isotopes (including the fissile or fertile chemical elements and isotopes) and their compounds; mixtures and residues containing these products: Radioactive elements and isotopes and compounds other than those of subheading 284410, 284420 or 284430; alloys, dispersions (including cermets), ceramic products and mixtures containing these elements, isotopes or compounds; radioactive residues: Radioactive residues</t>
  </si>
  <si>
    <t>Radioactive elements and isotopes and compounds other than those of subheading 284410, 284420 or 284430; alloys, dispersions (including cermets), ceramic products and mixtures containing these elements, isotopes or compounds; radioactive residues: Radioactive residues</t>
  </si>
  <si>
    <t>CHAPTER 28 - INORGANIC CHEMICALS; ORGANIC OR INORGANIC COMPOUNDS OF PRECIOUS METALS, OF RARE-EARTH METALS, OF RADIOACTIVE ELEMENTS OR OF ISOTOPES: Isotopes other than those of heading 2844; compounds, inorganic or organic, of such isotopes, whether or not chemically defined: Boron enriched in boron-10 and its compounds</t>
  </si>
  <si>
    <t>Boron enriched in boron-10 and its compounds</t>
  </si>
  <si>
    <t>Isotopes other than those of heading 2844; compounds, inorganic or organic, of such isotopes, whether or not chemically defined</t>
  </si>
  <si>
    <t>CHAPTER 28 - INORGANIC CHEMICALS; ORGANIC OR INORGANIC COMPOUNDS OF PRECIOUS METALS, OF RARE-EARTH METALS, OF RADIOACTIVE ELEMENTS OR OF ISOTOPES: Isotopes other than those of heading 2844; compounds, inorganic or organic, of such isotopes, whether or not chemically defined: Lithium enriched in lithium-6 and its compounds</t>
  </si>
  <si>
    <t>Lithium enriched in lithium-6 and its compounds</t>
  </si>
  <si>
    <t>CHAPTER 28 - INORGANIC CHEMICALS; ORGANIC OR INORGANIC COMPOUNDS OF PRECIOUS METALS, OF RARE-EARTH METALS, OF RADIOACTIVE ELEMENTS OR OF ISOTOPES: Isotopes other than those of heading 2844; compounds, inorganic or organic, of such isotopes, whether or not chemically defined: Helium-3</t>
  </si>
  <si>
    <t>Helium-3</t>
  </si>
  <si>
    <t>CHAPTER 29 - ORGANIC CHEMICALS: Halogenated derivatives of hydrocarbons: Fluorinated, brominated or iodinated derivatives of acyclic hydrocarbons: Ethylene dibromide (ISO) (1,2-dibromoethane)</t>
  </si>
  <si>
    <t>CHAPTER 29 - ORGANIC CHEMICALS</t>
  </si>
  <si>
    <t>Halogenated derivatives of hydrocarbons</t>
  </si>
  <si>
    <t>Fluorinated, brominated or iodinated derivatives of acyclic hydrocarbons :"Ethylene dibromide (ISO) (1,2-dibromoethane)</t>
  </si>
  <si>
    <t>CHAPTER 29 - ORGANIC CHEMICALS: Halogenated derivatives of hydrocarbons: Fluorinated, brominated or iodinated derivatives of acyclic hydrocarbons: Other: Bromides: Bromomethane (methyl bromide)</t>
  </si>
  <si>
    <t>Fluorinated, brominated or iodinated derivatives of acyclic hydrocarbons :"Other</t>
  </si>
  <si>
    <t>CHAPTER 29 - ORGANIC CHEMICALS: Halogenated derivatives of hydrocarbons: Fluorinated, brominated or iodinated derivatives of acyclic hydrocarbons: Other: Bromides: Dibromomethane</t>
  </si>
  <si>
    <t>CHAPTER 29 - ORGANIC CHEMICALS: Halogenated derivatives of hydrocarbons: Fluorinated, brominated or iodinated derivatives of acyclic hydrocarbons: Other: Bromides: Other</t>
  </si>
  <si>
    <t>CHAPTER 29 - ORGANIC CHEMICALS: Halogenated derivatives of hydrocarbons: Fluorinated, brominated or iodinated derivatives of acyclic hydrocarbons: Other: Saturated fluorides: Difluoromethane</t>
  </si>
  <si>
    <t>CHAPTER 29 - ORGANIC CHEMICALS: Halogenated derivatives of hydrocarbons: Fluorinated, brominated or iodinated derivatives of acyclic hydrocarbons: Other: Saturated fluorides: Trifluoromethane</t>
  </si>
  <si>
    <t>CHAPTER 29 - ORGANIC CHEMICALS: Halogenated derivatives of hydrocarbons: Fluorinated, brominated or iodinated derivatives of acyclic hydrocarbons: Other: Saturated fluorides: Pentafluoroethane and 1,1,1-trifluoroethane</t>
  </si>
  <si>
    <t>CHAPTER 29 - ORGANIC CHEMICALS: Halogenated derivatives of hydrocarbons: Fluorinated, brominated or iodinated derivatives of acyclic hydrocarbons: Other: Saturated fluorides: 1,1-difluoroethane</t>
  </si>
  <si>
    <t>CHAPTER 29 - ORGANIC CHEMICALS: Halogenated derivatives of hydrocarbons: Fluorinated, brominated or iodinated derivatives of acyclic hydrocarbons: Other: Saturated fluorides: 1,1,1,2-tetrafluoroethane</t>
  </si>
  <si>
    <t>CHAPTER 29 - ORGANIC CHEMICALS: Halogenated derivatives of hydrocarbons: Fluorinated, brominated or iodinated derivatives of acyclic hydrocarbons: Other: Saturated fluorides: Pentafluoropropanes, hexafluoropropanes and heptafluoropropanes</t>
  </si>
  <si>
    <t>CHAPTER 29 - ORGANIC CHEMICALS: Halogenated derivatives of hydrocarbons: Fluorinated, brominated or iodinated derivatives of acyclic hydrocarbons: Other: Saturated fluorides: Perfluorinated saturated fluorides</t>
  </si>
  <si>
    <t>CHAPTER 29 - ORGANIC CHEMICALS: Halogenated derivatives of hydrocarbons: Fluorinated, brominated or iodinated derivatives of acyclic hydrocarbons: Other: Saturated fluorides: Other saturated fluorides</t>
  </si>
  <si>
    <t>CHAPTER 29 - ORGANIC CHEMICALS: Halogenated derivatives of hydrocarbons: Fluorinated, brominated or iodinated derivatives of acyclic hydrocarbons: Other: Unsaturated fluorides: 2,3,3,3-tetrafluoropropene</t>
  </si>
  <si>
    <t>CHAPTER 29 - ORGANIC CHEMICALS: Halogenated derivatives of hydrocarbons: Fluorinated, brominated or iodinated derivatives of acyclic hydrocarbons: Other: Unsaturated fluorides: 1,3,3,3-tetrafluoropropene</t>
  </si>
  <si>
    <t>CHAPTER 29 - ORGANIC CHEMICALS: Halogenated derivatives of hydrocarbons: Fluorinated, brominated or iodinated derivatives of acyclic hydrocarbons: Other: Unsaturated fluorides: Other unsaturated fluorides</t>
  </si>
  <si>
    <t>CHAPTER 29 - ORGANIC CHEMICALS: Halogenated derivatives of hydrocarbons: Fluorinated, brominated or iodinated derivatives of acyclic hydrocarbons: Other: Iodides</t>
  </si>
  <si>
    <t>CHAPTER 29 - ORGANIC CHEMICALS: Halogenated derivatives of hydrocarbons: Saturated fluorinated derivatives of acyclic hydrocarbons: Trifluoromethane (HFC-23)</t>
  </si>
  <si>
    <t>Saturated fluorinated derivatives of acyclic hydrocarbons: Trifluoromethane (HFC-23)</t>
  </si>
  <si>
    <t>Halogenated derivatives of acyclic hydrocarbons containing two or more different halogens :"Trichlorofluoromethane</t>
  </si>
  <si>
    <t>CHAPTER 29 - ORGANIC CHEMICALS: Halogenated derivatives of hydrocarbons: Saturated fluorinated derivatives of acyclic hydrocarbons: Difluoromethane (HFC-32)</t>
  </si>
  <si>
    <t>Saturated fluorinated derivatives of acyclic hydrocarbons: Difluoromethane (HFC-32)</t>
  </si>
  <si>
    <t>Halogenated derivatives of acyclic hydrocarbons containing two or more different halogens :"Dichlorodifluoromethane</t>
  </si>
  <si>
    <t>CHAPTER 29 - ORGANIC CHEMICALS: Halogenated derivatives of hydrocarbons: Saturated fluorinated derivatives of acyclic hydrocarbons: Fluoromethane (HFC-41), 1,2-difluoroethane (HFC-152) and 1,1-difluoroethane (HFC-152a)</t>
  </si>
  <si>
    <t>Saturated fluorinated derivatives of acyclic hydrocarbons: Fluoromethane (HFC-41), 1,2-difluoroethane (HFC-152) and 1,1-difluoroethane (HFC-152a)</t>
  </si>
  <si>
    <t>Halogenated derivatives of acyclic hydrocarbons containing two or more different halogens :"Trichlorotrifluoroethanes</t>
  </si>
  <si>
    <t>CHAPTER 29 - ORGANIC CHEMICALS: Halogenated derivatives of hydrocarbons: Saturated fluorinated derivatives of acyclic hydrocarbons: Pentafluoroethane (HFC-125), 1,1,1-trifluoroethane (HFC-143a) and 1,1,2-trifluoroethane (HFC-143)</t>
  </si>
  <si>
    <t>Saturated fluorinated derivatives of acyclic hydrocarbons: Pentafluoroethane (HFC-125), 1,1,1-trifluoroethane (HFC-143a) and 1,1,2-trifluoroethane (HFC-143)</t>
  </si>
  <si>
    <t>Halogenated derivatives of acyclic hydrocarbons containing two or more different halogens :"Dichlorotetrafluoroethanes and chloropentafluoroethane</t>
  </si>
  <si>
    <t>CHAPTER 29 - ORGANIC CHEMICALS: Halogenated derivatives of hydrocarbons: Saturated fluorinated derivatives of acyclic hydrocarbons: 1,1,1,2-Tetrafluoroethane (HFC-134a) and 1,1,2,2-tetrafluoroethane (HFC-134)</t>
  </si>
  <si>
    <t>Saturated fluorinated derivatives of acyclic hydrocarbons: 1,1,1,2-Tetrafluoroethane (HFC-134a) and 1,1,2,2-tetrafluoroethane (HFC-134)</t>
  </si>
  <si>
    <t>Halogenated derivatives of acyclic hydrocarbons containing two or more different halogens :"Other derivatives perhalogenated only with fluorine and chlorine</t>
  </si>
  <si>
    <t>CHAPTER 29 - ORGANIC CHEMICALS: Halogenated derivatives of hydrocarbons: Saturated fluorinated derivatives of acyclic hydrocarbons: 1,1,1,2,3,3,3-Heptafluoropropane (HFC-227ea), 1,1,1,2,2,3-hexafluoropropane (HFC-236cb), 1,1,1,2,3,3-hexafluoropropane (HFC-236ea) and 1,1,1,3,3,3-hexafluoropropane (HFC-236fa)</t>
  </si>
  <si>
    <t>Saturated fluorinated derivatives of acyclic hydrocarbons: 1,1,1,2,3,3,3-Heptafluoropropane (HFC-227ea), 1,1,1,2,2,3-hexafluoropropane (HFC-236cb), 1,1,1,2,3,3-hexafluoropropane (HFC-236ea) and 1,1,1,3,3,3-hexafluoropropane (HFC-236fa)</t>
  </si>
  <si>
    <t>Halogenated derivatives of acyclic hydrocarbons containing two or more different halogens :"Bromochlorodifluoromethane, bromotrifluoromethane and dibromotetrafluoroethanes</t>
  </si>
  <si>
    <t>CHAPTER 29 - ORGANIC CHEMICALS: Halogenated derivatives of hydrocarbons: Saturated fluorinated derivatives of acyclic hydrocarbons: 1,1,1,3,3-Pentafluoropropane (HFC-245fa) and 1,1,2,2,3-pentafluoropropane (HFC-245ca)</t>
  </si>
  <si>
    <t>Saturated fluorinated derivatives of acyclic hydrocarbons: 1,1,1,3,3-Pentafluoropropane (HFC-245fa) and 1,1,2,2,3-pentafluoropropane (HFC-245ca)</t>
  </si>
  <si>
    <t>Halogenated derivatives of acyclic hydrocarbons containing two or more different halogens :"Other perhalogenated derivatives</t>
  </si>
  <si>
    <t>CHAPTER 29 - ORGANIC CHEMICALS: Halogenated derivatives of hydrocarbons: Saturated fluorinated derivatives of acyclic hydrocarbons: 1,1,1,3,3-Pentafluorobutane (HFC-365mfc) and 1,1,1,2,2,3,4,5,5,5-decafluoropentane (HFC-43-10mee)</t>
  </si>
  <si>
    <t>Saturated fluorinated derivatives of acyclic hydrocarbons: 1,1,1,3,3-Pentafluorobutane (HFC-365mfc) and 1,1,1,2,2,3,4,5,5,5-decafluoropentane (HFC-43-10mee)</t>
  </si>
  <si>
    <t>Halogenated derivatives of acyclic hydrocarbons containing two or more different halogens :</t>
  </si>
  <si>
    <t>CHAPTER 29 - ORGANIC CHEMICALS: Halogenated derivatives of hydrocarbons: Saturated fluorinated derivatives of acyclic hydrocarbons: Other: Other pentafluoropropanes, hexafluoropropanes and heptafluoropropanes</t>
  </si>
  <si>
    <t>Other pentafluoropropanes, hexafluoropropanes and heptafluoropropanes</t>
  </si>
  <si>
    <t>Halogenated derivatives of acyclic hydrocarbons containing two or more different halogens :"Other</t>
  </si>
  <si>
    <t>CHAPTER 29 - ORGANIC CHEMICALS: Halogenated derivatives of hydrocarbons: Saturated fluorinated derivatives of acyclic hydrocarbons: Other: Perfluorinated derivatives</t>
  </si>
  <si>
    <t>Perfluorinated derivatives</t>
  </si>
  <si>
    <t>CHAPTER 29 - ORGANIC CHEMICALS: Halogenated derivatives of hydrocarbons: Saturated fluorinated derivatives of acyclic hydrocarbons: Other: Other</t>
  </si>
  <si>
    <t>CHAPTER 29 - ORGANIC CHEMICALS: Halogenated derivatives of hydrocarbons: Unsaturated fluorinated derivatives of acyclic hydrocarbons: 2,3,3,3-Tetrafluoropropene (HFO-1234yf), 1,3,3,3-tetrafluoropropene (HFO-1234ze) and (Z)-1,1,1,4,4,4-hexafluoro-2-butene (HFO-1336mzz)</t>
  </si>
  <si>
    <t>Unsaturated fluorinated derivatives of acyclic hydrocarbons: 2,3,3,3-Tetrafluoropropene (HFO-1234yf), 1,3,3,3-tetrafluoropropene (HFO-1234ze) and (Z)-1,1,1,4,4,4-hexafluoro-2-butene (HFO-1336mzz)</t>
  </si>
  <si>
    <t>Halogenated derivatives of cyclanic, cyclenic or cycloterpenic hydrocarbons :"1,2,3,4,5,6-Hexachlorocyclohexane (HCH (ISO)), including lindane (ISO, INN)</t>
  </si>
  <si>
    <t>CHAPTER 29 - ORGANIC CHEMICALS: Halogenated derivatives of hydrocarbons: Unsaturated fluorinated derivatives of acyclic hydrocarbons: Other</t>
  </si>
  <si>
    <t>Unsaturated fluorinated derivatives of acyclic hydrocarbons: Other</t>
  </si>
  <si>
    <t>Halogenated derivatives of cyclanic, cyclenic or cycloterpenic hydrocarbons :"Other</t>
  </si>
  <si>
    <t>CHAPTER 29 - ORGANIC CHEMICALS: Halogenated derivatives of hydrocarbons: Brominated or iodinated derivatives of acyclic hydrocarbons: Methyl bromide (bromomethane)</t>
  </si>
  <si>
    <t>Brominated or iodinated derivatives of acyclic hydrocarbons: Methyl bromide (bromomethane)</t>
  </si>
  <si>
    <t>Halogenated derivatives of aromatic hydrocarbons :"Chlorobenzene, o-dichlorobenzene and p-dichlorobenzene</t>
  </si>
  <si>
    <t>CHAPTER 29 - ORGANIC CHEMICALS: Halogenated derivatives of hydrocarbons: Brominated or iodinated derivatives of acyclic hydrocarbons: Ethylene dibromide (ISO) (1,2-dibromoethane)</t>
  </si>
  <si>
    <t>Brominated or iodinated derivatives of acyclic hydrocarbons: Ethylene dibromide (ISO) (1,2-dibromoethane)</t>
  </si>
  <si>
    <t>Halogenated derivatives of aromatic hydrocarbons :"Hexachlorobenzene (ISO) and DDT (ISO) (clofenotane (INN), 1,1,1-trichloro-2,2-bis(p-chlorophenyl)ethane)</t>
  </si>
  <si>
    <t>CHAPTER 29 - ORGANIC CHEMICALS: Halogenated derivatives of hydrocarbons: Brominated or iodinated derivatives of acyclic hydrocarbons: Other: Bromides: Dibromomethane</t>
  </si>
  <si>
    <t>Bromides: Dibromomethane</t>
  </si>
  <si>
    <t>Halogenated derivatives of aromatic hydrocarbons :"Other</t>
  </si>
  <si>
    <t>CHAPTER 29 - ORGANIC CHEMICALS: Halogenated derivatives of hydrocarbons: Brominated or iodinated derivatives of acyclic hydrocarbons: Other: Bromides: Other</t>
  </si>
  <si>
    <t>Bromides: Other</t>
  </si>
  <si>
    <t>CHAPTER 29 - ORGANIC CHEMICALS: Halogenated derivatives of hydrocarbons: Brominated or iodinated derivatives of acyclic hydrocarbons: Other: Iodides</t>
  </si>
  <si>
    <t>Iodides</t>
  </si>
  <si>
    <t>CHAPTER 29 - ORGANIC CHEMICALS: Ethers, ether-alcohols, ether-phenols, ether-alcohol-phenols, alcohol peroxides, ether peroxides, ketone peroxides (whether or not chemically defined), and their halogenated, sulphonated, nitrated or nitrosated derivatives: Alcohol peroxides, ether peroxides, ketone peroxides and their halogenated, sulphonated, nitrated or nitrosated derivatives</t>
  </si>
  <si>
    <t>Ethers, ether-alcohols, ether-phenols, ether-alcohol-phenols, alcohol peroxides, ether peroxides, acetal and hemiacetal peroxides, ketone peroxides (whether or not chemically defined), and their halogenated, sulphonated, nitrated or nitrosated derivatives</t>
  </si>
  <si>
    <t>Alcohol peroxides, ether peroxides, ketone peroxides and their halogenated, sulphonated, nitrated or nitrosated derivatives</t>
  </si>
  <si>
    <t>CHAPTER 29 - ORGANIC CHEMICALS: Ethers, ether-alcohols, ether-phenols, ether-alcohol-phenols, alcohol peroxides, ether peroxides, acetal and hemiacetal peroxides, ketone peroxides (whether or not chemically defined), and their halogenated, sulphonated, nitrated or nitrosated derivatives: Alcohol peroxides, ether peroxides, acetal and hemiacetal peroxides, ketone peroxides and their halogenated, sulphonated, nitrated or nitrosated derivatives: Acetals and hemiacetals peroxides</t>
  </si>
  <si>
    <t>Acetals and hemiacetals peroxides</t>
  </si>
  <si>
    <t>CHAPTER 29 - ORGANIC CHEMICALS: Ethers, ether-alcohols, ether-phenols, ether-alcohol-phenols, alcohol peroxides, ether peroxides, acetal and hemiacetal peroxides, ketone peroxides (whether or not chemically defined), and their halogenated, sulphonated, nitrated or nitrosated derivatives: Alcohol peroxides, ether peroxides, acetal and hemiacetal peroxides, ketone peroxides and their halogenated, sulphonated, nitrated or nitrosated derivatives: Other</t>
  </si>
  <si>
    <t>CHAPTER 29 - ORGANIC CHEMICALS: Organo-sulphur compounds: 2-(N,N-Dimethylamino) ethanethiol</t>
  </si>
  <si>
    <t>2-(N,N-Dimethylamino) ethanethiol</t>
  </si>
  <si>
    <t>Organo-sulphur compounds</t>
  </si>
  <si>
    <t>CHAPTER 29 - ORGANIC CHEMICALS: Other organo-inorganic compounds: Other organo-phosphorous derivatives: Dimethyl methylphosphonate</t>
  </si>
  <si>
    <t>Other organo-inorganic compounds</t>
  </si>
  <si>
    <t>CHAPTER 29 - ORGANIC CHEMICALS: Other organo-inorganic compounds: Other organo-phosphorous derivatives: Dimethyl propylphosphonate</t>
  </si>
  <si>
    <t>CHAPTER 29 - ORGANIC CHEMICALS: Other organo-inorganic compounds: Other organo-phosphorous derivatives: Diethyl ethylphosphonate</t>
  </si>
  <si>
    <t>CHAPTER 29 - ORGANIC CHEMICALS: Other organo-inorganic compounds: Other organo-phosphorous derivatives: Sodium 3-(trihydroxysilyl)propyl methylphosphonate</t>
  </si>
  <si>
    <t>CHAPTER 29 - ORGANIC CHEMICALS: Other organo-inorganic compounds: Other organo-phosphorous derivatives: 2,4,6-Tripropyl-1,3,5,2,4,6-trioxatriphosphinane 2,4,6-trioxide</t>
  </si>
  <si>
    <t>CHAPTER 29 - ORGANIC CHEMICALS: Other organo-inorganic compounds: Other organo-phosphorous derivatives: (5-Ethyl-2-methyl-2-oxido-1,3,2-dioxaphosphinan-5-yl)methyl methyl methylphosphonate</t>
  </si>
  <si>
    <t>CHAPTER 29 - ORGANIC CHEMICALS: Other organo-inorganic compounds: Other organo-phosphorous derivatives: Bis[(5-ethyl-2-methyl-2-oxido-1,3,2-dioxaphosphinan-5-yl)methyl] methylphosphonate</t>
  </si>
  <si>
    <t>CHAPTER 29 - ORGANIC CHEMICALS: Other organo-inorganic compounds: Other organo-phosphorous derivatives: Salt of methylphosphonic acid and (aminoiminomethyl)urea (1 : 1)</t>
  </si>
  <si>
    <t>CHAPTER 29 - ORGANIC CHEMICALS: Other organo-inorganic compounds: Other organo-phosphorous derivatives: Other: Methylphosphonoyl difluoride (methylphosphonic difluoride)</t>
  </si>
  <si>
    <t>CHAPTER 29 - ORGANIC CHEMICALS: Other organo-inorganic compounds: Other organo-phosphorous derivatives: Other: Methylphosphonoyl dichloride (methylphosphonic dichloride)</t>
  </si>
  <si>
    <t>CHAPTER 29 - ORGANIC CHEMICALS: Other organo-inorganic compounds: Other organo-phosphorous derivatives: Other: Etidronic acid (INN) (1-hydroxyethane-1,1-diphosphonic acid) and its salts</t>
  </si>
  <si>
    <t>CHAPTER 29 - ORGANIC CHEMICALS: Other organo-inorganic compounds: Other organo-phosphorous derivatives: Other: (Nitrilotrimethanediyl)tris(phosphonic acid), {ethane-1,2-diylbis[nitrilobis(methylene)]}tetrakis(phosphonic acid), [(bis{2-[bis(phosphonomethyl)amino]ethyl}amino)methyl]phosphonic acid, {hexane-1,6-diylbis[nitrilobis(methylene)]}tetrakis(phosphonic acid), {[(2-hydroxyethyl)imino]bis(methylene)}bis(phosphonic acid), and [(bis{6-[bis(phosphonomethyl)amino]hexyl}amino)methyl]phosphonic acid; salts thereof</t>
  </si>
  <si>
    <t>CHAPTER 29 - ORGANIC CHEMICALS: Other organo-inorganic compounds: Other organo-phosphorous derivatives: Other: Other</t>
  </si>
  <si>
    <t>CHAPTER 29 - ORGANIC CHEMICALS: Other organo-inorganic compounds: Non-halogenated organo-phosphorous derivatives: Dimethyl methylphosphonate</t>
  </si>
  <si>
    <t>Non-halogenated organo-phosphorous derivatives: Dimethyl methylphosphonate</t>
  </si>
  <si>
    <t>CHAPTER 29 - ORGANIC CHEMICALS: Other organo-inorganic compounds: Non-halogenated organo-phosphorous derivatives: Dimethyl propylphosphonate</t>
  </si>
  <si>
    <t>Non-halogenated organo-phosphorous derivatives: Dimethyl propylphosphonate</t>
  </si>
  <si>
    <t>CHAPTER 29 - ORGANIC CHEMICALS: Other organo-inorganic compounds: Non-halogenated organo-phosphorous derivatives: Diethyl ethylphosphonate</t>
  </si>
  <si>
    <t>Non-halogenated organo-phosphorous derivatives: Diethyl ethylphosphonate</t>
  </si>
  <si>
    <t>CHAPTER 29 - ORGANIC CHEMICALS: Other organo-inorganic compounds: Non-halogenated organo-phosphorous derivatives: Methylphosphonic acid</t>
  </si>
  <si>
    <t>Non-halogenated organo-phosphorous derivatives: Methylphosphonic acid</t>
  </si>
  <si>
    <t>CHAPTER 29 - ORGANIC CHEMICALS: Other organo-inorganic compounds: Non-halogenated organo-phosphorous derivatives: Salt of methylphosphonic acid and (aminoiminomethyl)urea (1: 1)</t>
  </si>
  <si>
    <t>Non-halogenated organo-phosphorous derivatives: Salt of methylphosphonic acid and (aminoiminomethyl)urea (1: 1)</t>
  </si>
  <si>
    <t>CHAPTER 29 - ORGANIC CHEMICALS: Other organo-inorganic compounds: Non-halogenated organo-phosphorous derivatives: 2,4,6-Tripropyl-1,3,5,2,4,6-trioxatriphosphinane 2,4,6-trioxide</t>
  </si>
  <si>
    <t>Non-halogenated organo-phosphorous derivatives: 2,4,6-Tripropyl-1,3,5,2,4,6-trioxatriphosphinane 2,4,6-trioxide</t>
  </si>
  <si>
    <t>CHAPTER 29 - ORGANIC CHEMICALS: Other organo-inorganic compounds: Non-halogenated organo-phosphorous derivatives: (5-Ethyl-2-methyl-2-oxido-1,3,2-dioxaphosphinan-5-yl) methyl methyl methylphosphonate</t>
  </si>
  <si>
    <t>Non-halogenated organo-phosphorous derivatives: (5-Ethyl-2-methyl-2-oxido-1,3,2-dioxaphosphinan-5-yl) methyl methyl methylphosphonate</t>
  </si>
  <si>
    <t>CHAPTER 29 - ORGANIC CHEMICALS: Other organo-inorganic compounds: Non-halogenated organo-phosphorous derivatives: 3,9-Dimethyl-2,4,8,10-tetraoxa-3,9-diphosphaspiro[5.5] undecane 3,9-dioxide</t>
  </si>
  <si>
    <t>Non-halogenated organo-phosphorous derivatives: 3,9-Dimethyl-2,4,8,10-tetraoxa-3,9-diphosphaspiro[5.5] undecane 3,9-dioxide</t>
  </si>
  <si>
    <t>CHAPTER 29 - ORGANIC CHEMICALS: Other organo-inorganic compounds: Non-halogenated organo-phosphorous derivatives: Other: Sodium 3-(trihydroxysilyl)propyl methylphosphonate</t>
  </si>
  <si>
    <t>Sodium 3-(trihydroxysilyl)propyl methylphosphonate</t>
  </si>
  <si>
    <t>CHAPTER 29 - ORGANIC CHEMICALS: Other organo-inorganic compounds: Non-halogenated organo-phosphorous derivatives: Other: Bis[(5-ethyl-2-methyl-2-oxido-1,3,2-dioxaphosphinan-5-yl)methyl] methylphosphonate</t>
  </si>
  <si>
    <t>Bis[(5-ethyl-2-methyl-2-oxido-1,3,2-dioxaphosphinan-5-yl)methyl] methylphosphonate</t>
  </si>
  <si>
    <t>CHAPTER 29 - ORGANIC CHEMICALS: Other organo-inorganic compounds: Non-halogenated organo-phosphorous derivatives: Other: Etidronic acid (INN) (1-hydroxyethane-1,1-diphosphonic acid) and its salts</t>
  </si>
  <si>
    <t>Etidronic acid (INN) (1-hydroxyethane-1,1-diphosphonic acid) and its salts</t>
  </si>
  <si>
    <t>CHAPTER 29 - ORGANIC CHEMICALS: Other organo-inorganic compounds: Non-halogenated organo-phosphorous derivatives: Other: (Nitrilotrimethanediyl)tris(phosphonic acid), {ethane-1,2-diylbis[nitrilobis(methylene)]}tetrakis(phosphonic acid), [(bis{2-[bis(phosphonomethyl)amino]ethyl}amino)methyl]phosphonic acid, {hexane-1,6-diylbis[nitrilobis(methylene)]}tetrakis(phosphonic acid), {[(2-hydroxyethyl)imino]bis(methylene)}bis(phosphonic acid), and [(bis{6-[bis(phosphonomethyl)amino]hexyl}amino)methyl]phosphonic acid; salts thereof</t>
  </si>
  <si>
    <t>(Nitrilotrimethanediyl)tris(phosphonic acid), {ethane-1,2-diylbis[nitrilobis(methylene)]}tetrakis(phosphonic acid), [(bis{2-[bis(phosphonomethyl)amino]ethyl}amino)methyl]phosphonic acid, {hexane-1,6-diylbis[nitrilobis(methylene)]}tetrakis(phosphonic acid), {[(2-hydroxyethyl)imino]bis(methylene)}bis(phosphonic acid), and [(bis{6-[bis(phosphonomethyl)amino]hexyl}amino)methyl]phosphonic acid; salts thereof</t>
  </si>
  <si>
    <t>CHAPTER 29 - ORGANIC CHEMICALS: Other organo-inorganic compounds: Non-halogenated organo-phosphorous derivatives: Other: Other</t>
  </si>
  <si>
    <t>CHAPTER 29 - ORGANIC CHEMICALS: Other organo-inorganic compounds: Halogenated organo-phosphorous derivatives: Methylphosphonic dichloride</t>
  </si>
  <si>
    <t>Halogenated organo-phosphorous derivatives: Methylphosphonic dichloride</t>
  </si>
  <si>
    <t>CHAPTER 29 - ORGANIC CHEMICALS: Other organo-inorganic compounds: Halogenated organo-phosphorous derivatives: Propylphosphonic dichloride</t>
  </si>
  <si>
    <t>Halogenated organo-phosphorous derivatives: Propylphosphonic dichloride</t>
  </si>
  <si>
    <t>CHAPTER 29 - ORGANIC CHEMICALS: Other organo-inorganic compounds: Halogenated organo-phosphorous derivatives: O-(3-chloropropyl) O-[4-nitro-3-(trifluoromethyl)phenyl] methylphosphonothionate</t>
  </si>
  <si>
    <t>Halogenated organo-phosphorous derivatives: O-(3-chloropropyl) O-[4-nitro-3-(trifluoromethyl)phenyl] methylphosphonothionate</t>
  </si>
  <si>
    <t>CHAPTER 29 - ORGANIC CHEMICALS: Other organo-inorganic compounds: Halogenated organo-phosphorous derivatives: Trichlorfon (ISO)</t>
  </si>
  <si>
    <t>Halogenated organo-phosphorous derivatives: Trichlorfon (ISO)</t>
  </si>
  <si>
    <t>CHAPTER 29 - ORGANIC CHEMICALS: Other organo-inorganic compounds: Halogenated organo-phosphorous derivatives: Other: Methylphosphonoyl difluoride (methylphosphonic difluoride)</t>
  </si>
  <si>
    <t>Methylphosphonoyl difluoride (methylphosphonic difluoride)</t>
  </si>
  <si>
    <t>CHAPTER 29 - ORGANIC CHEMICALS: Other organo-inorganic compounds: Halogenated organo-phosphorous derivatives: Other: Other</t>
  </si>
  <si>
    <t>CHAPTER 29 - ORGANIC CHEMICALS: Heterocyclic compounds with oxygen hetero-atom(s) only: Other: Carbofuran (ISO)</t>
  </si>
  <si>
    <t>Other: Carbofuran (ISO)</t>
  </si>
  <si>
    <t>Heterocyclic compounds with oxygen hetero-atom(s) only</t>
  </si>
  <si>
    <t>Other :</t>
  </si>
  <si>
    <t>CHAPTER 29 - ORGANIC CHEMICALS: Heterocyclic compounds with nitrogen hetero-atom(s) only: Compounds containing an unfused pyridine ring (whether or not hydrogenated) in the structure: Other fentanyls and their derivatives</t>
  </si>
  <si>
    <t>Compounds containing an unfused pyridine ring (whether or not hydrogenated) in the structure: Other fentanyls and their derivatives</t>
  </si>
  <si>
    <t>Heterocyclic compounds with nitrogen hetero-atom(s) only</t>
  </si>
  <si>
    <t>Compounds containing an unfused pyridine ring (whether or not hydrogenated) in the structure :</t>
  </si>
  <si>
    <t>CHAPTER 29 - ORGANIC CHEMICALS: Heterocyclic compounds with nitrogen hetero-atom(s) only: Compounds containing an unfused pyridine ring (whether or not hydrogenated) in the structure: 3-Quinuclidinol</t>
  </si>
  <si>
    <t>Compounds containing an unfused pyridine ring (whether or not hydrogenated) in the structure: 3-Quinuclidinol</t>
  </si>
  <si>
    <t>CHAPTER 29 - ORGANIC CHEMICALS: Heterocyclic compounds with nitrogen hetero-atom(s) only: Compounds containing an unfused pyridine ring (whether or not hydrogenated) in the structure: 4-Anilino-N-phenethylpiperidine (ANPP)</t>
  </si>
  <si>
    <t>Compounds containing an unfused pyridine ring (whether or not hydrogenated) in the structure: 4-Anilino-N-phenethylpiperidine (ANPP)</t>
  </si>
  <si>
    <t>CHAPTER 29 - ORGANIC CHEMICALS: Heterocyclic compounds with nitrogen hetero-atom(s) only: Compounds containing an unfused pyridine ring (whether or not hydrogenated) in the structure: N-Phenethyl-4-piperidone (NPP)</t>
  </si>
  <si>
    <t>Compounds containing an unfused pyridine ring (whether or not hydrogenated) in the structure: N-Phenethyl-4-piperidone (NPP)</t>
  </si>
  <si>
    <t>CHAPTER 29 - ORGANIC CHEMICALS: Nucleic acids and their salts, whether or not chemically defined; other heterocyclic compounds: Other: Other fentanyls and their derivatives</t>
  </si>
  <si>
    <t>Other: Other fentanyls and their derivatives</t>
  </si>
  <si>
    <t>Nucleic acids and their salts, whether or not chemically defined; other heterocyclic compounds</t>
  </si>
  <si>
    <t>CHAPTER 29 - ORGANIC CHEMICALS: Alkaloids, natural or reproduced by synthesis, and their salts, ethers, esters and other derivatives: Alkaloids of ephedra and their derivatives; salts thereof: Levometamfetamine, metamfetamine (INN), metamfetamine racemate and their salts</t>
  </si>
  <si>
    <t>Alkaloids of ephedra and their derivatives; salts thereof: Levometamfetamine, metamfetamine (INN), metamfetamine racemate and their salts</t>
  </si>
  <si>
    <t>Alkaloids, natural or reproduced by synthesis, and their salts, ethers, esters and other derivatives</t>
  </si>
  <si>
    <t>Ephedrines and their salts :</t>
  </si>
  <si>
    <t>CHAPTER 29 - ORGANIC CHEMICALS: Alkaloids, natural or reproduced by synthesis, and their salts, ethers, esters and other derivatives: Other, of vegetal origin: Cocaine, ecgonine, levometamfetamine, metamfetamine (INN), metamfetamine racemate; salts, esters and other derivatives thereof</t>
  </si>
  <si>
    <t>CHAPTER 29 - ORGANIC CHEMICALS: Alkaloids, natural or reproduced by synthesis, and their salts, ethers, esters and other derivatives: Other, of vegetal origin: Cocaine, ecgonine; salts, esters and other derivatives thereof</t>
  </si>
  <si>
    <t>Other, of vegetal origin: Cocaine, ecgonine; salts, esters and other derivatives thereof</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</si>
  <si>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Antisera, other blood fractions and immunological products, whether or not modified or obtained by means of biotechnological processes: Malaria diagnostic test kits</t>
  </si>
  <si>
    <t>CHAPTER 30 - PHARMACEUTICAL PRODUCTS</t>
  </si>
  <si>
    <t>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cell cultures, whether or not modified</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</si>
  <si>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Antisera, other blood fractions and immunological products, whether or not modified or obtained by means of biotechnological processes: Other</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</si>
  <si>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Vaccines for human medicine: Vaccines against SARS-related coronaviruses (SARS-CoV)</t>
  </si>
  <si>
    <t>Vaccines for human medicine</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</si>
  <si>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Vaccines for human medicine: Other</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</si>
  <si>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Vaccines for veterinary medicine</t>
  </si>
  <si>
    <t>Vaccines for veterinary medicine</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</si>
  <si>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cell cultures, whether or not modified: Vaccines, toxins, cultures of micro-organisms (excluding yeasts) and similar products: Vaccines for human medicine: Vaccines against SARS-related coronaviruses (SARS-CoV species)</t>
  </si>
  <si>
    <t>Vaccines against SARS-related coronaviruses (SARS-CoV species)</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</si>
  <si>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cell cultures, whether or not modified: Vaccines, toxins, cultures of micro-organisms (excluding yeasts) and similar products: Vaccines for human medicine: Other</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</si>
  <si>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cell cultures, whether or not modified: Vaccines, toxins, cultures of micro-organisms (excluding yeasts) and similar products: Vaccines for veterinary medicine</t>
  </si>
  <si>
    <t>Vaccines, toxins, cultures of micro-organisms (excluding yeasts) and similar products: Vaccines for veterinary medicine</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</si>
  <si>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cell cultures, whether or not modified: Vaccines, toxins, cultures of micro-organisms (excluding yeasts) and similar products: Other</t>
  </si>
  <si>
    <t>Vaccines, toxins, cultures of micro-organisms (excluding yeasts) and similar products: Other</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</si>
  <si>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cell cultures, whether or not modified: Cell cultures, whether or not modified: Cell therapy products</t>
  </si>
  <si>
    <t>Cell cultures, whether or not modified: Cell therapy products</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</si>
  <si>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cell cultures, whether or not modified: Cell cultures, whether or not modified: Other</t>
  </si>
  <si>
    <t>Cell cultures, whether or not modified: Other</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</si>
  <si>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Other: Cultures of micro-organisms</t>
  </si>
  <si>
    <t>CHAPTER 30 - PHARMACEUTICAL PRODUCTS: Pharmaceutical goods specified in note 4 to this chapter: Blood-grouping reagents</t>
  </si>
  <si>
    <t>Pharmaceutical goods specified in note 4 to this chapter</t>
  </si>
  <si>
    <t>Blood-grouping reagents</t>
  </si>
  <si>
    <t>CHAPTER 30 - PHARMACEUTICAL PRODUCTS: Pharmaceutical goods specified in note 4 to this chapter: Other: Placebos and blinded (or double-blinded) clinical trial kits for a recognised clinical trial, put up in measured doses</t>
  </si>
  <si>
    <t>Other: Placebos and blinded (or double-blinded) clinical trial kits for a recognised clinical trial, put up in measured doses</t>
  </si>
  <si>
    <t>CHAPTER 32 - TANNING OR DYEING EXTRACTS; TANNINS AND THEIR DERIVATIVES; DYES, PIGMENTS AND OTHER COLOURING MATTER; PAINTS AND VARNISHES; PUTTY AND OTHER MASTICS; INKS: 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 Synthetic organic colouring matter and preparations based thereon as specified in note 3 to this chapter: Carotenoid colouring matters and preparations based thereon</t>
  </si>
  <si>
    <t>Synthetic organic colouring matter and preparations based thereon as specified in note 3 to this chapter: Carotenoid colouring matters and preparations based thereon</t>
  </si>
  <si>
    <t>CHAPTER 32 - TANNING OR DYEING EXTRACTS; TANNINS AND THEIR DERIVATIVES; DYES, PIGMENTS AND OTHER COLOURING MATTER; PAINTS AND VARNISHES; PUTTY AND OTHER MASTICS; INKS</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</si>
  <si>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t>
  </si>
  <si>
    <t>Synthetic organic colouring matter and preparations based thereon as specified in Note 3 to this Chapter :</t>
  </si>
  <si>
    <t>CHAPTER 33 - ESSENTIAL OILS AND RESINOIDS; PERFUMERY, COSMETIC OR TOILET PREPARATIONS: Essential oils (terpeneless or not), including concretes and absolutes; resinoids; extracted oleoresins; concentrates of essential oils in fats, in fixed oils, in waxes or the like, obtained by enfleurage or maceration; terpenic by-products of the deterpenation of essential oils; aqueous distillates and aqueous solutions of essential oils: Essential oils other than those of citrus fruit: Other: Other: Not deterpenated</t>
  </si>
  <si>
    <t>CHAPTER 33 - ESSENTIAL OILS AND RESINOIDS; PERFUMERY, COSMETIC OR TOILET PREPARATIONS</t>
  </si>
  <si>
    <t>Essential oils (terpeneless or not), including concretes and absolutes; resinoids; extracted oleoresins; concentrates of essential oils in fats, in fixed oils, in waxes or the like, obtained by enfleurage or maceration; terpenic by-products of the deterpenation of essential oils; aqueous distillates and aqueous solutions of essential oils</t>
  </si>
  <si>
    <t>Essential oils other than those of citrus fruit :"Other</t>
  </si>
  <si>
    <t>CHAPTER 33 - ESSENTIAL OILS AND RESINOIDS; PERFUMERY, COSMETIC OR TOILET PREPARATIONS: Essential oils (terpeneless or not), including concretes and absolutes; resinoids; extracted oleoresins; concentrates of essential oils in fats, in fixed oils, in waxes or the like, obtained by enfleurage or maceration; terpenic by-products of the deterpenation of essential oils; aqueous distillates and aqueous solutions of essential oils: Essential oils other than those of citrus fruit: Other: Other: Not deterpenated: Of rose</t>
  </si>
  <si>
    <t>Other: Not deterpenated: Of rose</t>
  </si>
  <si>
    <t>CHAPTER 33 - ESSENTIAL OILS AND RESINOIDS; PERFUMERY, COSMETIC OR TOILET PREPARATIONS: Essential oils (terpeneless or not), including concretes and absolutes; resinoids; extracted oleoresins; concentrates of essential oils in fats, in fixed oils, in waxes or the like, obtained by enfleurage or maceration; terpenic by-products of the deterpenation of essential oils; aqueous distillates and aqueous solutions of essential oils: Essential oils other than those of citrus fruit: Other: Other: Not deterpenated: Other</t>
  </si>
  <si>
    <t>Other: Not deterpenated: Other</t>
  </si>
  <si>
    <t>CHAPTER 34 - SOAP, ORGANIC SURFACE-ACTIVE AGENTS, WASHING PREPARATIONS, LUBRICATING PREPARATIONS, ARTIFICIAL WAXES, PREPARED WAXES, POLISHING OR SCOURING PREPARATIONS, CANDLES AND SIMILAR ARTICLES, MODELLING PASTES, ‘DENTAL WAXES’ AND DENTAL PREPARATIONS WITH A BASIS OF PLASTER: Organic surface-active agents (other than soap); surface-active preparations, washing preparations (including auxiliary washing preparations) and cleaning preparations, whether or not containing soap, other than those of heading 3401: Organic surface-active agents, whether or not put up for retail sale: Anionic: Aqueous solution containing by weight 30 % or more but not more than 50 % of disodium alkyl [oxydi(benzenesulphonate)]</t>
  </si>
  <si>
    <t>CHAPTER 34 - SOAP, ORGANIC SURFACE-ACTIVE AGENTS, WASHING PREPARATIONS, LUBRICATING PREPARATIONS, ARTIFICIAL WAXES, PREPARED WAXES, POLISHING OR SCOURING PREPARATIONS, CANDLES AND SIMILAR ARTICLES, MODELLING PASTES, ‘DENTAL WAXES’ AND DENTAL PREPARATIONS WITH A BASIS OF PLASTER</t>
  </si>
  <si>
    <t>Organic surface-active agents (other than soap); surface-active preparations, washing preparations (including auxiliary washing preparations) and cleaning preparations, whether or not containing soap, other than those of heading 3401</t>
  </si>
  <si>
    <t>Organic surface-active agents, whether or not put up for retail sale :"Anionic</t>
  </si>
  <si>
    <t>CHAPTER 34 - SOAP, ORGANIC SURFACE-ACTIVE AGENTS, WASHING PREPARATIONS, LUBRICATING PREPARATIONS, ARTIFICIAL WAXES, PREPARED WAXES, POLISHING OR SCOURING PREPARATIONS, CANDLES AND SIMILAR ARTICLES, MODELLING PASTES, ‘DENTAL WAXES’ AND DENTAL PREPARATIONS WITH A BASIS OF PLASTER: Organic surface-active agents (other than soap); surface-active preparations, washing preparations (including auxiliary washing preparations) and cleaning preparations, whether or not containing soap, other than those of heading 3401: Organic surface-active agents, whether or not put up for retail sale: Anionic: Other</t>
  </si>
  <si>
    <t>CHAPTER 34 - SOAP, ORGANIC SURFACE-ACTIVE AGENTS, WASHING PREPARATIONS, LUBRICATING PREPARATIONS, ARTIFICIAL WAXES, PREPARED WAXES, POLISHING OR SCOURING PREPARATIONS, CANDLES AND SIMILAR ARTICLES, MODELLING PASTES, ‘DENTAL WAXES’ AND DENTAL PREPARATIONS WITH A BASIS OF PLASTER: Organic surface-active agents (other than soap); surface-active preparations, washing preparations (including auxiliary washing preparations) and cleaning preparations, whether or not containing soap, other than those of heading 3401: Organic surface-active agents, whether or not put up for retail sale: Cationic</t>
  </si>
  <si>
    <t>Organic surface-active agents, whether or not put up for retail sale :"Cationic</t>
  </si>
  <si>
    <t>CHAPTER 34 - SOAP, ORGANIC SURFACE-ACTIVE AGENTS, WASHING PREPARATIONS, LUBRICATING PREPARATIONS, ARTIFICIAL WAXES, PREPARED WAXES, POLISHING OR SCOURING PREPARATIONS, CANDLES AND SIMILAR ARTICLES, MODELLING PASTES, ‘DENTAL WAXES’ AND DENTAL PREPARATIONS WITH A BASIS OF PLASTER: Organic surface-active agents (other than soap); surface-active preparations, washing preparations (including auxiliary washing preparations) and cleaning preparations, whether or not containing soap, other than those of heading 3401: Organic surface-active agents, whether or not put up for retail sale: Non-ionic</t>
  </si>
  <si>
    <t>Organic surface-active agents, whether or not put up for retail sale :"Non-ionic</t>
  </si>
  <si>
    <t>CHAPTER 34 - SOAP, ORGANIC SURFACE-ACTIVE AGENTS, WASHING PREPARATIONS, LUBRICATING PREPARATIONS, ARTIFICIAL WAXES, PREPARED WAXES, POLISHING OR SCOURING PREPARATIONS, CANDLES AND SIMILAR ARTICLES, MODELLING PASTES, ‘DENTAL WAXES’ AND DENTAL PREPARATIONS WITH A BASIS OF PLASTER: Organic surface-active agents (other than soap); surface-active preparations, washing preparations (including auxiliary washing preparations) and cleaning preparations, whether or not containing soap, other than those of heading 3401: Organic surface-active agents, whether or not put up for retail sale: Other</t>
  </si>
  <si>
    <t>Organic surface-active agents, whether or not put up for retail sale :"Other</t>
  </si>
  <si>
    <t>CHAPTER 34 - SOAP, ORGANIC SURFACE-ACTIVE AGENTS, WASHING PREPARATIONS, LUBRICATING PREPARATIONS, ARTIFICIAL WAXES, PREPARED WAXES, POLISHING OR SCOURING PREPARATIONS, CANDLES AND SIMILAR ARTICLES, MODELLING PASTES, ‘DENTAL WAXES’ AND DENTAL PREPARATIONS WITH A BASIS OF PLASTER: Organic surface-active agents (other than soap); surface-active preparations, washing preparations (including auxiliary washing preparations) and cleaning preparations, whether or not containing soap, other than those of heading 3401: Preparations put up for retail sale: Surface-active preparations</t>
  </si>
  <si>
    <t>Preparations put up for retail sale</t>
  </si>
  <si>
    <t>CHAPTER 34 - SOAP, ORGANIC SURFACE-ACTIVE AGENTS, WASHING PREPARATIONS, LUBRICATING PREPARATIONS, ARTIFICIAL WAXES, PREPARED WAXES, POLISHING OR SCOURING PREPARATIONS, CANDLES AND SIMILAR ARTICLES, MODELLING PASTES, ‘DENTAL WAXES’ AND DENTAL PREPARATIONS WITH A BASIS OF PLASTER: Organic surface-active agents (other than soap); surface-active preparations, washing preparations (including auxiliary washing preparations) and cleaning preparations, whether or not containing soap, other than those of heading 3401: Preparations put up for retail sale: Washing preparations and cleaning preparations</t>
  </si>
  <si>
    <t>CHAPTER 34 - SOAP, ORGANIC SURFACE-ACTIVE AGENTS, WASHING PREPARATIONS, LUBRICATING PREPARATIONS, ARTIFICIAL WAXES, PREPARED WAXES, POLISHING OR SCOURING PREPARATIONS, CANDLES AND SIMILAR ARTICLES, MODELLING PASTES, ‘DENTAL WAXES’ AND DENTAL PREPARATIONS WITH A BASIS OF PLASTER: Organic surface-active agents (other than soap); surface-active preparations, washing preparations (including auxiliary washing preparations) and cleaning preparations, whether or not containing soap, other than those of heading 3401: Anionic organic surface-active agents, whether or not put up for retail sale: Linear alkylbenzene sulphonic acids and their salts</t>
  </si>
  <si>
    <t>Anionic organic surface-active agents, whether or not put up for retail sale: Linear alkylbenzene sulphonic acids and their salts</t>
  </si>
  <si>
    <t>CHAPTER 34 - SOAP, ORGANIC SURFACE-ACTIVE AGENTS, WASHING PREPARATIONS, LUBRICATING PREPARATIONS, ARTIFICIAL WAXES, PREPARED WAXES, POLISHING OR SCOURING PREPARATIONS, CANDLES AND SIMILAR ARTICLES, MODELLING PASTES, ‘DENTAL WAXES’ AND DENTAL PREPARATIONS WITH A BASIS OF PLASTER: Organic surface-active agents (other than soap); surface-active preparations, washing preparations (including auxiliary washing preparations) and cleaning preparations, whether or not containing soap, other than those of heading 3401: Anionic organic surface-active agents, whether or not put up for retail sale: Other: Aqueous solution containing by weight 30 % or more but not more than 50 % of disodium alkyl [oxydi(benzenesulphonate)]</t>
  </si>
  <si>
    <t>Aqueous solution containing by weight 30 % or more but not more than 50 % of disodium alkyl [oxydi(benzenesulphonate)]</t>
  </si>
  <si>
    <t>CHAPTER 34 - SOAP, ORGANIC SURFACE-ACTIVE AGENTS, WASHING PREPARATIONS, LUBRICATING PREPARATIONS, ARTIFICIAL WAXES, PREPARED WAXES, POLISHING OR SCOURING PREPARATIONS, CANDLES AND SIMILAR ARTICLES, MODELLING PASTES, ‘DENTAL WAXES’ AND DENTAL PREPARATIONS WITH A BASIS OF PLASTER: Organic surface-active agents (other than soap); surface-active preparations, washing preparations (including auxiliary washing preparations) and cleaning preparations, whether or not containing soap, other than those of heading 3401: Anionic organic surface-active agents, whether or not put up for retail sale: Other: Other</t>
  </si>
  <si>
    <t>CHAPTER 34 - SOAP, ORGANIC SURFACE-ACTIVE AGENTS, WASHING PREPARATIONS, LUBRICATING PREPARATIONS, ARTIFICIAL WAXES, PREPARED WAXES, POLISHING OR SCOURING PREPARATIONS, CANDLES AND SIMILAR ARTICLES, MODELLING PASTES, ‘DENTAL WAXES’ AND DENTAL PREPARATIONS WITH A BASIS OF PLASTER: Organic surface-active agents (other than soap); surface-active preparations, washing preparations (including auxiliary washing preparations) and cleaning preparations, whether or not containing soap, other than those of heading 3401: Other organic surface-active agents, whether or not put up for retail sale: Cationic</t>
  </si>
  <si>
    <t>Other organic surface-active agents, whether or not put up for retail sale: Cationic</t>
  </si>
  <si>
    <t>CHAPTER 34 - SOAP, ORGANIC SURFACE-ACTIVE AGENTS, WASHING PREPARATIONS, LUBRICATING PREPARATIONS, ARTIFICIAL WAXES, PREPARED WAXES, POLISHING OR SCOURING PREPARATIONS, CANDLES AND SIMILAR ARTICLES, MODELLING PASTES, ‘DENTAL WAXES’ AND DENTAL PREPARATIONS WITH A BASIS OF PLASTER: Organic surface-active agents (other than soap); surface-active preparations, washing preparations (including auxiliary washing preparations) and cleaning preparations, whether or not containing soap, other than those of heading 3401: Other organic surface-active agents, whether or not put up for retail sale: Non-ionic</t>
  </si>
  <si>
    <t>Other organic surface-active agents, whether or not put up for retail sale: Non-ionic</t>
  </si>
  <si>
    <t>CHAPTER 34 - SOAP, ORGANIC SURFACE-ACTIVE AGENTS, WASHING PREPARATIONS, LUBRICATING PREPARATIONS, ARTIFICIAL WAXES, PREPARED WAXES, POLISHING OR SCOURING PREPARATIONS, CANDLES AND SIMILAR ARTICLES, MODELLING PASTES, ‘DENTAL WAXES’ AND DENTAL PREPARATIONS WITH A BASIS OF PLASTER: Organic surface-active agents (other than soap); surface-active preparations, washing preparations (including auxiliary washing preparations) and cleaning preparations, whether or not containing soap, other than those of heading 3401: Other organic surface-active agents, whether or not put up for retail sale: Other</t>
  </si>
  <si>
    <t>Other organic surface-active agents, whether or not put up for retail sale: Other</t>
  </si>
  <si>
    <t>Surface-active preparations</t>
  </si>
  <si>
    <t>Washing preparations and cleaning preparations</t>
  </si>
  <si>
    <t>CHAPTER 36 - EXPLOSIVES; PYROTECHNIC PRODUCTS; MATCHES; PYROPHORIC ALLOYS; CERTAIN COMBUSTIBLE PREPARATIONS: Safety fuses; detonating fuses; percussion or detonating caps; igniters; electric detonators: Safety fuses</t>
  </si>
  <si>
    <t>CHAPTER 36 - EXPLOSIVES; PYROTECHNIC PRODUCTS; MATCHES; PYROPHORIC ALLOYS; CERTAIN COMBUSTIBLE PREPARATIONS</t>
  </si>
  <si>
    <t>Safety fuses; detonating cords; percussion or detonating caps; igniters; electric detonators</t>
  </si>
  <si>
    <t>Safety fuses; detonating fuses; percussion or detonating caps; igniters; electric detonators .</t>
  </si>
  <si>
    <t>CHAPTER 36 - EXPLOSIVES; PYROTECHNIC PRODUCTS; MATCHES; PYROPHORIC ALLOYS; CERTAIN COMBUSTIBLE PREPARATIONS: Safety fuses; detonating fuses; percussion or detonating caps; igniters; electric detonators: Detonating fuses</t>
  </si>
  <si>
    <t>CHAPTER 36 - EXPLOSIVES; PYROTECHNIC PRODUCTS; MATCHES; PYROPHORIC ALLOYS; CERTAIN COMBUSTIBLE PREPARATIONS: Safety fuses; detonating fuses; percussion or detonating caps; igniters; electric detonators: Percussion caps</t>
  </si>
  <si>
    <t>CHAPTER 36 - EXPLOSIVES; PYROTECHNIC PRODUCTS; MATCHES; PYROPHORIC ALLOYS; CERTAIN COMBUSTIBLE PREPARATIONS: Safety fuses; detonating fuses; percussion or detonating caps; igniters; electric detonators: Detonating caps</t>
  </si>
  <si>
    <t>CHAPTER 36 - EXPLOSIVES; PYROTECHNIC PRODUCTS; MATCHES; PYROPHORIC ALLOYS; CERTAIN COMBUSTIBLE PREPARATIONS: Safety fuses; detonating fuses; percussion or detonating caps; igniters; electric detonators: Igniters</t>
  </si>
  <si>
    <t>CHAPTER 36 - EXPLOSIVES; PYROTECHNIC PRODUCTS; MATCHES; PYROPHORIC ALLOYS; CERTAIN COMBUSTIBLE PREPARATIONS: Safety fuses; detonating fuses; percussion or detonating caps; igniters; electric detonators: Electric detonators</t>
  </si>
  <si>
    <t>CHAPTER 36 - EXPLOSIVES; PYROTECHNIC PRODUCTS; MATCHES; PYROPHORIC ALLOYS; CERTAIN COMBUSTIBLE PREPARATIONS: Safety fuses; detonating cords; percussion or detonating caps; igniters; electric detonators: Safety fuses</t>
  </si>
  <si>
    <t>Safety fuses</t>
  </si>
  <si>
    <t>CHAPTER 36 - EXPLOSIVES; PYROTECHNIC PRODUCTS; MATCHES; PYROPHORIC ALLOYS; CERTAIN COMBUSTIBLE PREPARATIONS: Safety fuses; detonating cords; percussion or detonating caps; igniters; electric detonators: Detonating cords</t>
  </si>
  <si>
    <t>Detonating cords</t>
  </si>
  <si>
    <t>CHAPTER 36 - EXPLOSIVES; PYROTECHNIC PRODUCTS; MATCHES; PYROPHORIC ALLOYS; CERTAIN COMBUSTIBLE PREPARATIONS: Safety fuses; detonating cords; percussion or detonating caps; igniters; electric detonators: Percussion caps</t>
  </si>
  <si>
    <t>Percussion caps</t>
  </si>
  <si>
    <t>CHAPTER 36 - EXPLOSIVES; PYROTECHNIC PRODUCTS; MATCHES; PYROPHORIC ALLOYS; CERTAIN COMBUSTIBLE PREPARATIONS: Safety fuses; detonating cords; percussion or detonating caps; igniters; electric detonators: Detonating caps</t>
  </si>
  <si>
    <t>Detonating caps</t>
  </si>
  <si>
    <t>CHAPTER 36 - EXPLOSIVES; PYROTECHNIC PRODUCTS; MATCHES; PYROPHORIC ALLOYS; CERTAIN COMBUSTIBLE PREPARATIONS: Safety fuses; detonating cords; percussion or detonating caps; igniters; electric detonators: Igniters</t>
  </si>
  <si>
    <t>Igniters</t>
  </si>
  <si>
    <t>CHAPTER 36 - EXPLOSIVES; PYROTECHNIC PRODUCTS; MATCHES; PYROPHORIC ALLOYS; CERTAIN COMBUSTIBLE PREPARATIONS: Safety fuses; detonating cords; percussion or detonating caps; igniters; electric detonators: Electric detonators</t>
  </si>
  <si>
    <t>Electric detonators</t>
  </si>
  <si>
    <t>CHAPTER 38 - MISCELLANEOUS CHEMICAL PRODUCTS: Refractory cements, mortars, concretes and similar compositions, other than products of heading 3801</t>
  </si>
  <si>
    <t>CHAPTER 38 - MISCELLANEOUS CHEMICAL PRODUCTS</t>
  </si>
  <si>
    <t>Refractory    cements,     mortars,   concretes    and    similar compositions, other than products of heading 38.01.</t>
  </si>
  <si>
    <t>CHAPTER 38 - MISCELLANEOUS CHEMICAL PRODUCTS: Refractory cements, mortars, concretes and similar compositions, including dolomite ramming mix, other than products of heading 3801: Dolomite ramming mix</t>
  </si>
  <si>
    <t>CHAPTER 38 - MISCELLANEOUS CHEMICAL PRODUCTS: Refractory cements, mortars, concretes and similar compositions, including dolomite ramming mix, other than products of heading 3801: Other</t>
  </si>
  <si>
    <t>CHAPTER 38 - MISCELLANEOUS CHEMICAL PRODUCTS: Diagnostic or laboratory reagents on a backing, prepared diagnostic or laboratory reagents whether or not on a backing, other than those of heading 3002 or 3006; certified reference materials</t>
  </si>
  <si>
    <t>Diagnostic or laboratory reagents on a backing, prepared diagnostic or laboratory reagents whether or not on a backing, whether or not put up in the form of kits, other than those of heading 3006; certified reference materials</t>
  </si>
  <si>
    <t>Diagnostic or laboratory reagents on a backing, prepared diagnostic or laboratory reagents whether or not on a backing, other than those of heading 30.02 or 30.06; certified reference materials.</t>
  </si>
  <si>
    <t>CHAPTER 38 - MISCELLANEOUS CHEMICAL PRODUCTS: Diagnostic or laboratory reagents on a backing, prepared diagnostic or laboratory reagents whether or not on a backing, whether or not put up in the form of kits, other than those of heading 3006; certified reference materials: Diagnostic or laboratory reagents on a backing, prepared diagnostic or laboratory reagents whether or not on a backing, whether or not put up in the form of kits: For malaria</t>
  </si>
  <si>
    <t>Diagnostic or laboratory reagents on a backing, prepared diagnostic or laboratory reagents whether or not on a backing, whether or not put up in the form of kits: For malaria</t>
  </si>
  <si>
    <t>CHAPTER 38 - MISCELLANEOUS CHEMICAL PRODUCTS: Diagnostic or laboratory reagents on a backing, prepared diagnostic or laboratory reagents whether or not on a backing, whether or not put up in the form of kits, other than those of heading 3006; certified reference materials: Diagnostic or laboratory reagents on a backing, prepared diagnostic or laboratory reagents whether or not on a backing, whether or not put up in the form of kits: For Zika and other diseases transmitted by mosquitoes of the genus Aedes</t>
  </si>
  <si>
    <t>Diagnostic or laboratory reagents on a backing, prepared diagnostic or laboratory reagents whether or not on a backing, whether or not put up in the form of kits: For Zika and other diseases transmitted by mosquitoes of the genus Aedes</t>
  </si>
  <si>
    <t>CHAPTER 38 - MISCELLANEOUS CHEMICAL PRODUCTS: Diagnostic or laboratory reagents on a backing, prepared diagnostic or laboratory reagents whether or not on a backing, whether or not put up in the form of kits, other than those of heading 3006; certified reference materials: Diagnostic or laboratory reagents on a backing, prepared diagnostic or laboratory reagents whether or not on a backing, whether or not put up in the form of kits: For blood-grouping</t>
  </si>
  <si>
    <t>Diagnostic or laboratory reagents on a backing, prepared diagnostic or laboratory reagents whether or not on a backing, whether or not put up in the form of kits: For blood-grouping</t>
  </si>
  <si>
    <t>CHAPTER 38 - MISCELLANEOUS CHEMICAL PRODUCTS: Diagnostic or laboratory reagents on a backing, prepared diagnostic or laboratory reagents whether or not on a backing, whether or not put up in the form of kits, other than those of heading 3006; certified reference materials: Diagnostic or laboratory reagents on a backing, prepared diagnostic or laboratory reagents whether or not on a backing, whether or not put up in the form of kits: Other</t>
  </si>
  <si>
    <t>Diagnostic or laboratory reagents on a backing, prepared diagnostic or laboratory reagents whether or not on a backing, whether or not put up in the form of kits: Other</t>
  </si>
  <si>
    <t>CHAPTER 38 - MISCELLANEOUS CHEMICAL PRODUCTS: Diagnostic or laboratory reagents on a backing, prepared diagnostic or laboratory reagents whether or not on a backing, whether or not put up in the form of kits, other than those of heading 3006; certified reference materials: Other</t>
  </si>
  <si>
    <t>CHAPTER 38 - MISCELLANEOUS CHEMICAL PRODUCTS: Prepared binders for foundry moulds or cores; chemical products and preparations of the chemical or allied industries (including those consisting of mixtures of natural products), not elsewhere specified or included: Mixtures containing halogenated derivatives of methane, ethane or propane: Containing chlorofluorocarbons (CFCs), whether or not containing hydrochlorofluorocarbons (HCFCs), perfluorocarbons (PFCs) or hydrofluorocarbons (HFCs)</t>
  </si>
  <si>
    <t>Prepared binders for foundry moulds or cores; chemical products and preparations of the chemical or allied industries (including those consisting of mixtures of natural products), not elsewhere specified or included</t>
  </si>
  <si>
    <t>Mixtures containing halogenated derivatives of methane, ethane or propane :"Containing chlorofluorocarbons (CFCs), whether or not containing         hydrochlorofluorocarbons          (HCFCs), perfluorocarbons (PFCs) or hydrofluorocarbons (HFCs)</t>
  </si>
  <si>
    <t>CHAPTER 38 - MISCELLANEOUS CHEMICAL PRODUCTS: Prepared binders for foundry moulds or cores; chemical products and preparations of the chemical or allied industries (including those consisting of mixtures of natural products), not elsewhere specified or included: Mixtures containing halogenated derivatives of methane, ethane or propane: Containing bromochlorodifluoromethane, bromotrifluoromethane or dibromotetrafluoroethanes</t>
  </si>
  <si>
    <t>Mixtures containing halogenated derivatives of methane, ethane or propane :"Containing                       bromochlorodifluoromethane, bromotrifluoromethane or dibromotetrafluoroethanes</t>
  </si>
  <si>
    <t>CHAPTER 38 - MISCELLANEOUS CHEMICAL PRODUCTS: Prepared binders for foundry moulds or cores; chemical products and preparations of the chemical or allied industries (including those consisting of mixtures of natural products), not elsewhere specified or included: Mixtures containing halogenated derivatives of methane, ethane or propane: Containing hydrobromofluorocarbons (HBFCs)</t>
  </si>
  <si>
    <t>Mixtures containing halogenated derivatives of methane, ethane or propane :"Containing hydrobromofluorocarbons (HBFCs)</t>
  </si>
  <si>
    <t>CHAPTER 38 - MISCELLANEOUS CHEMICAL PRODUCTS: Prepared binders for foundry moulds or cores; chemical products and preparations of the chemical or allied industries (including those consisting of mixtures of natural products), not elsewhere specified or included: Mixtures containing halogenated derivatives of methane, ethane or propane: Containing hydrochlorofluorocarbons (HCFCs), whether or not containing perfluorocarbons (PFCs) or hydrofluorocarbons (HFCs), but not containing chlorofluorocarbons (CFCs)</t>
  </si>
  <si>
    <t>Mixtures containing halogenated derivatives of methane, ethane or propane :"Containing hydrochlorofluorocarbons (HCFCs), whether or not     containing       perfluorocarbons     (PFCs)     or hydrofluorocarbons      (HFCs),     but   not    containing chlorofluorocarbons (CFCs)</t>
  </si>
  <si>
    <t>CHAPTER 38 - MISCELLANEOUS CHEMICAL PRODUCTS: Prepared binders for foundry moulds or cores; chemical products and preparations of the chemical or allied industries (including those consisting of mixtures of natural products), not elsewhere specified or included: Mixtures containing halogenated derivatives of methane, ethane or propane: Containing carbon tetrachloride</t>
  </si>
  <si>
    <t>Mixtures containing halogenated derivatives of methane, ethane or propane :"Containing carbon tetrachloride</t>
  </si>
  <si>
    <t>CHAPTER 38 - MISCELLANEOUS CHEMICAL PRODUCTS: Prepared binders for foundry moulds or cores; chemical products and preparations of the chemical or allied industries (including those consisting of mixtures of natural products), not elsewhere specified or included: Mixtures containing halogenated derivatives of methane, ethane or propane: Containing 1,1,1-trichloroethane (methyl chloroform)</t>
  </si>
  <si>
    <t>Mixtures containing halogenated derivatives of methane, ethane or propane :"Containing 1,1,1-trichloroethane (methyl chloroform)</t>
  </si>
  <si>
    <t>CHAPTER 38 - MISCELLANEOUS CHEMICAL PRODUCTS: Prepared binders for foundry moulds or cores; chemical products and preparations of the chemical or allied industries (including those consisting of mixtures of natural products), not elsewhere specified or included: Mixtures containing halogenated derivatives of methane, ethane or propane: Containing bromomethane (methyl bromide) or bromochloromethane</t>
  </si>
  <si>
    <t>Mixtures containing halogenated derivatives of methane, ethane or propane :"Containing       bromomethane       (methyl     bromide)   or bromochloromethane</t>
  </si>
  <si>
    <t>CHAPTER 38 - MISCELLANEOUS CHEMICAL PRODUCTS: Prepared binders for foundry moulds or cores; chemical products and preparations of the chemical or allied industries (including those consisting of mixtures of natural products), not elsewhere specified or included: Mixtures containing halogenated derivatives of methane, ethane or propane: Containing perfluorocarbons (PFCs) or hydrofluorocarbons (HFCs), but not containing chlorofluorocarbons (CFCs) or hydrochlorofluorocarbons (HCFCs): Containing  only 1,1,1-trifluoroethane and pentafluoroethane</t>
  </si>
  <si>
    <t>Mixtures containing halogenated derivatives of methane, ethane or propane :"Containing perfluorocarbons (PFCs) or hydrofluorocarbons (HFCs), but not containing chlorofluorocarbons (CFCs) or hydrochlorofluorocarbons (HCFCs)</t>
  </si>
  <si>
    <t>CHAPTER 38 - MISCELLANEOUS CHEMICAL PRODUCTS: Prepared binders for foundry moulds or cores; chemical products and preparations of the chemical or allied industries (including those consisting of mixtures of natural products), not elsewhere specified or included: Mixtures containing halogenated derivatives of methane, ethane or propane: Containing perfluorocarbons (PFCs) or hydrofluorocarbons (HFCs), but not containing chlorofluorocarbons (CFCs) or hydrochlorofluorocarbons (HCFCs): Containing only 1,1,1-trifluoroethane, pentafluoroethane and 1,1,1,2-tetrafluoroethane</t>
  </si>
  <si>
    <t>CHAPTER 38 - MISCELLANEOUS CHEMICAL PRODUCTS: Prepared binders for foundry moulds or cores; chemical products and preparations of the chemical or allied industries (including those consisting of mixtures of natural products), not elsewhere specified or included: Mixtures containing halogenated derivatives of methane, ethane or propane: Containing perfluorocarbons (PFCs) or hydrofluorocarbons (HFCs), but not containing chlorofluorocarbons (CFCs) or hydrochlorofluorocarbons (HCFCs): Containing only difluoromethane and pentafluoroethane</t>
  </si>
  <si>
    <t>CHAPTER 38 - MISCELLANEOUS CHEMICAL PRODUCTS: Prepared binders for foundry moulds or cores; chemical products and preparations of the chemical or allied industries (including those consisting of mixtures of natural products), not elsewhere specified or included: Mixtures containing halogenated derivatives of methane, ethane or propane: Containing perfluorocarbons (PFCs) or hydrofluorocarbons (HFCs), but not containing chlorofluorocarbons (CFCs) or hydrochlorofluorocarbons (HCFCs): Containing only difluoromethane, pentafluoroethane and 1,1,1,2-tetrafluoroethane</t>
  </si>
  <si>
    <t>CHAPTER 38 - MISCELLANEOUS CHEMICAL PRODUCTS: Prepared binders for foundry moulds or cores; chemical products and preparations of the chemical or allied industries (including those consisting of mixtures of natural products), not elsewhere specified or included: Mixtures containing halogenated derivatives of methane, ethane or propane: Containing perfluorocarbons (PFCs) or hydrofluorocarbons (HFCs), but not containing chlorofluorocarbons (CFCs) or hydrochlorofluorocarbons (HCFCs): Containing unsaturated hydrofluorocarbons</t>
  </si>
  <si>
    <t>CHAPTER 38 - MISCELLANEOUS CHEMICAL PRODUCTS: Prepared binders for foundry moulds or cores; chemical products and preparations of the chemical or allied industries (including those consisting of mixtures of natural products), not elsewhere specified or included: Mixtures containing halogenated derivatives of methane, ethane or propane: Containing perfluorocarbons (PFCs) or hydrofluorocarbons (HFCs), but not containing chlorofluorocarbons (CFCs) or hydrochlorofluorocarbons (HCFCs): Other</t>
  </si>
  <si>
    <t>CHAPTER 38 - MISCELLANEOUS CHEMICAL PRODUCTS: Prepared binders for foundry moulds or cores; chemical products and preparations of the chemical or allied industries (including those consisting of mixtures of natural products), not elsewhere specified or included: Mixtures containing halogenated derivatives of methane, ethane or propane: Other</t>
  </si>
  <si>
    <t>Mixtures containing halogenated derivatives of methane, ethane or propane :"Other</t>
  </si>
  <si>
    <t>CHAPTER 38 - MISCELLANEOUS CHEMICAL PRODUCTS: Prepared binders for foundry moulds or cores; chemical products and preparations of the chemical or allied industries (including those consisting of mixtures of natural products), not elsewhere specified or included: Goods specified in subheading note 3 to this chapter: Containing short-chain chlorinated paraffins</t>
  </si>
  <si>
    <t>Goods specified in subheading note 3 to this chapter: Containing short-chain chlorinated paraffins</t>
  </si>
  <si>
    <t>Mixtures and preparations containing oxirane (ethylene oxide), polybrominated biphenyls (PBBs), polychlorinated biphenyls (PCBs), polychlorinated terphenyls (PCTs) or tris(2,3-dibromopropyl) phosphate :</t>
  </si>
  <si>
    <t>CHAPTER 38 - MISCELLANEOUS CHEMICAL PRODUCTS: Prepared binders for foundry moulds or cores; chemical products and preparations of the chemical or allied industries (including those consisting of mixtures of natural products), not elsewhere specified or included: Other: Polyglycol esters of methylphosphonic acid</t>
  </si>
  <si>
    <t>Other: Polyglycol esters of methylphosphonic acid</t>
  </si>
  <si>
    <t>CHAPTER 38 - MISCELLANEOUS CHEMICAL PRODUCTS: Prepared binders for foundry moulds or cores; chemical products and preparations of the chemical or allied industries (including those consisting of mixtures of natural products), not elsewhere specified or included: Other: Other: Other: Cartridges and refills, filled, for electronic cigarettes; preparations for use in cartridges and refills for electronic cigarettes: Containing products of subheading 29397910</t>
  </si>
  <si>
    <t>CHAPTER 38 - MISCELLANEOUS CHEMICAL PRODUCTS: Prepared binders for foundry moulds or cores; chemical products and preparations of the chemical or allied industries (including those consisting of mixtures of natural products), not elsewhere specified or included: Other: Other: Other: Cartridges and refills, filled, for electronic cigarettes; preparations for use in cartridges and refills for electronic cigarettes: Other</t>
  </si>
  <si>
    <t>CHAPTER 38 - MISCELLANEOUS CHEMICAL PRODUCTS: Prepared binders for foundry moulds or cores; chemical products and preparations of the chemical or allied industries (including those consisting of mixtures of natural products), not elsewhere specified or included: Other: Other: Other: Nicotine patches (transdermal systems), intended to assist smokers to stop smoking</t>
  </si>
  <si>
    <t>CHAPTER 38 - MISCELLANEOUS CHEMICAL PRODUCTS: Mixtures containing halogenated derivatives of methane, ethane or propane, not elsewhere specified or included: Containing chlorofluorocarbons (CFCs), whether or not containing hydrochlorofluorocarbons (HCFCs), perfluorocarbons (PFCs) or hydrofluorocarbons (HFCs); containing hydrobromofluorocarbons (HBFCs); containing carbon tetrachloride; containing 1,1,1-trichloroethane (methyl chloroform): Containing chlorofluorocarbons (CFCs), whether or not containing hydrochlorofluorocarbons (HCFCs), perfluorocarbons (PFCs) or hydrofluorocarbons (HFCs)</t>
  </si>
  <si>
    <t>Containing chlorofluorocarbons (CFCs), whether or not containing hydrochlorofluorocarbons (HCFCs), perfluorocarbons (PFCs) or hydrofluorocarbons (HFCs); containing hydrobromofluorocarbons (HBFCs); containing carbon tetrachloride; containing 1,1,1-trichloroethane (methyl chloroform): Containing chlorofluorocarbons (CFCs), whether or not containing hydrochlorofluorocarbons (HCFCs), perfluorocarbons (PFCs) or hydrofluorocarbons (HFCs)</t>
  </si>
  <si>
    <t>Mixtures containing halogenated derivatives of methane, ethane or propane, not elsewhere specified or included</t>
  </si>
  <si>
    <t>CHAPTER 38 - MISCELLANEOUS CHEMICAL PRODUCTS: Mixtures containing halogenated derivatives of methane, ethane or propane, not elsewhere specified or included: Containing chlorofluorocarbons (CFCs), whether or not containing hydrochlorofluorocarbons (HCFCs), perfluorocarbons (PFCs) or hydrofluorocarbons (HFCs); containing hydrobromofluorocarbons (HBFCs); containing carbon tetrachloride; containing 1,1,1-trichloroethane (methyl chloroform): Containing hydrobromofluorocarbons (HBFCs)</t>
  </si>
  <si>
    <t>Containing chlorofluorocarbons (CFCs), whether or not containing hydrochlorofluorocarbons (HCFCs), perfluorocarbons (PFCs) or hydrofluorocarbons (HFCs); containing hydrobromofluorocarbons (HBFCs); containing carbon tetrachloride; containing 1,1,1-trichloroethane (methyl chloroform): Containing hydrobromofluorocarbons (HBFCs)</t>
  </si>
  <si>
    <t>CHAPTER 38 - MISCELLANEOUS CHEMICAL PRODUCTS: Mixtures containing halogenated derivatives of methane, ethane or propane, not elsewhere specified or included: Containing chlorofluorocarbons (CFCs), whether or not containing hydrochlorofluorocarbons (HCFCs), perfluorocarbons (PFCs) or hydrofluorocarbons (HFCs); containing hydrobromofluorocarbons (HBFCs); containing carbon tetrachloride; containing 1,1,1-trichloroethane (methyl chloroform): Containing carbon tetrachloride</t>
  </si>
  <si>
    <t>Containing chlorofluorocarbons (CFCs), whether or not containing hydrochlorofluorocarbons (HCFCs), perfluorocarbons (PFCs) or hydrofluorocarbons (HFCs); containing hydrobromofluorocarbons (HBFCs); containing carbon tetrachloride; containing 1,1,1-trichloroethane (methyl chloroform): Containing carbon tetrachloride</t>
  </si>
  <si>
    <t>CHAPTER 38 - MISCELLANEOUS CHEMICAL PRODUCTS: Mixtures containing halogenated derivatives of methane, ethane or propane, not elsewhere specified or included: Containing chlorofluorocarbons (CFCs), whether or not containing hydrochlorofluorocarbons (HCFCs), perfluorocarbons (PFCs) or hydrofluorocarbons (HFCs); containing hydrobromofluorocarbons (HBFCs); containing carbon tetrachloride; containing 1,1,1-trichloroethane (methyl chloroform): Containing 1,1,1-trichloroethane (methyl chloroform)</t>
  </si>
  <si>
    <t>Containing chlorofluorocarbons (CFCs), whether or not containing hydrochlorofluorocarbons (HCFCs), perfluorocarbons (PFCs) or hydrofluorocarbons (HFCs); containing hydrobromofluorocarbons (HBFCs); containing carbon tetrachloride; containing 1,1,1-trichloroethane (methyl chloroform): Containing 1,1,1-trichloroethane (methyl chloroform)</t>
  </si>
  <si>
    <t>CHAPTER 38 - MISCELLANEOUS CHEMICAL PRODUCTS: Mixtures containing halogenated derivatives of methane, ethane or propane, not elsewhere specified or included: Containing bromochlorodifluoromethane (Halon-1211), bromotrifluoromethane (Halon-1301) or dibromotetrafluoroethanes (Halon-2402)</t>
  </si>
  <si>
    <t>Containing bromochlorodifluoromethane (Halon-1211), bromotrifluoromethane (Halon-1301) or dibromotetrafluoroethanes (Halon-2402)</t>
  </si>
  <si>
    <t>CHAPTER 38 - MISCELLANEOUS CHEMICAL PRODUCTS: Mixtures containing halogenated derivatives of methane, ethane or propane, not elsewhere specified or included: Containing hydrochlorofluorocarbons (HCFCs), whether or not containing perfluorocarbons (PFCs) or hydrofluorocarbons (HFCs), but not containing chlorofluorocarbons (CFCs): Containing substances of subheadings 290341 to 290348</t>
  </si>
  <si>
    <t>Containing hydrochlorofluorocarbons (HCFCs), whether or not containing perfluorocarbons (PFCs) or hydrofluorocarbons (HFCs), but not containing chlorofluorocarbons (CFCs): Containing substances of subheadings 290341 to 290348</t>
  </si>
  <si>
    <t>CHAPTER 38 - MISCELLANEOUS CHEMICAL PRODUCTS: Mixtures containing halogenated derivatives of methane, ethane or propane, not elsewhere specified or included: Containing hydrochlorofluorocarbons (HCFCs), whether or not containing perfluorocarbons (PFCs) or hydrofluorocarbons (HFCs), but not containing chlorofluorocarbons (CFCs): Other, containing substances of subheadings 290371 to 290375</t>
  </si>
  <si>
    <t>Containing hydrochlorofluorocarbons (HCFCs), whether or not containing perfluorocarbons (PFCs) or hydrofluorocarbons (HFCs), but not containing chlorofluorocarbons (CFCs): Other, containing substances of subheadings 290371 to 290375</t>
  </si>
  <si>
    <t>CHAPTER 38 - MISCELLANEOUS CHEMICAL PRODUCTS: Mixtures containing halogenated derivatives of methane, ethane or propane, not elsewhere specified or included: Containing hydrochlorofluorocarbons (HCFCs), whether or not containing perfluorocarbons (PFCs) or hydrofluorocarbons (HFCs), but not containing chlorofluorocarbons (CFCs): Other</t>
  </si>
  <si>
    <t>Containing hydrochlorofluorocarbons (HCFCs), whether or not containing perfluorocarbons (PFCs) or hydrofluorocarbons (HFCs), but not containing chlorofluorocarbons (CFCs): Other</t>
  </si>
  <si>
    <t>CHAPTER 38 - MISCELLANEOUS CHEMICAL PRODUCTS: Mixtures containing halogenated derivatives of methane, ethane or propane, not elsewhere specified or included: Containing methyl bromide (bromomethane) or bromochloromethane</t>
  </si>
  <si>
    <t>Containing methyl bromide (bromomethane) or bromochloromethane</t>
  </si>
  <si>
    <t>CHAPTER 38 - MISCELLANEOUS CHEMICAL PRODUCTS: Mixtures containing halogenated derivatives of methane, ethane or propane, not elsewhere specified or included: Containing trifluoromethane (HFC-23) or perfluorocarbons (PFCs) but not containing chlorofluorocarbons (CFCs) or hydrochlorofluorocarbons (HCFCs): Containing trifluoromethane (HFC-23)</t>
  </si>
  <si>
    <t>Containing trifluoromethane (HFC-23) or perfluorocarbons (PFCs) but not containing chlorofluorocarbons (CFCs) or hydrochlorofluorocarbons (HCFCs): Containing trifluoromethane (HFC-23)</t>
  </si>
  <si>
    <t>CHAPTER 38 - MISCELLANEOUS CHEMICAL PRODUCTS: Mixtures containing halogenated derivatives of methane, ethane or propane, not elsewhere specified or included: Containing trifluoromethane (HFC-23) or perfluorocarbons (PFCs) but not containing chlorofluorocarbons (CFCs) or hydrochlorofluorocarbons (HCFCs): Other</t>
  </si>
  <si>
    <t>Containing trifluoromethane (HFC-23) or perfluorocarbons (PFCs) but not containing chlorofluorocarbons (CFCs) or hydrochlorofluorocarbons (HCFCs): Other</t>
  </si>
  <si>
    <t>CHAPTER 38 - MISCELLANEOUS CHEMICAL PRODUCTS: Mixtures containing halogenated derivatives of methane, ethane or propane, not elsewhere specified or included: Containing other hydrofluorocarbons (HFCs) but not containing chlorofluorocarbons (CFCs) or hydrochlorofluorocarbons (HCFCs): Containing 15 % or more by mass of 1,1,1-trifluoroethane (HFC-143a)</t>
  </si>
  <si>
    <t>Containing other hydrofluorocarbons (HFCs) but not containing chlorofluorocarbons (CFCs) or hydrochlorofluorocarbons (HCFCs): Containing 15 % or more by mass of 1,1,1-trifluoroethane (HFC-143a)</t>
  </si>
  <si>
    <t>CHAPTER 38 - MISCELLANEOUS CHEMICAL PRODUCTS: Mixtures containing halogenated derivatives of methane, ethane or propane, not elsewhere specified or included: Containing other hydrofluorocarbons (HFCs) but not containing chlorofluorocarbons (CFCs) or hydrochlorofluorocarbons (HCFCs): Other, not included in the subheading above, containing 55 % or more by mass of pentafluoroethane (HFC- 125) but not containing unsaturated fluorinated derivatives of acyclic hydrocarbons (HFOs)</t>
  </si>
  <si>
    <t>Containing other hydrofluorocarbons (HFCs) but not containing chlorofluorocarbons (CFCs) or hydrochlorofluorocarbons (HCFCs): Other, not included in the subheading above, containing 55 % or more by mass of pentafluoroethane (HFC- 125) but not containing unsaturated fluorinated derivatives of acyclic hydrocarbons (HFOs)</t>
  </si>
  <si>
    <t>CHAPTER 38 - MISCELLANEOUS CHEMICAL PRODUCTS: Mixtures containing halogenated derivatives of methane, ethane or propane, not elsewhere specified or included: Containing other hydrofluorocarbons (HFCs) but not containing chlorofluorocarbons (CFCs) or hydrochlorofluorocarbons (HCFCs): Other, not included in the subheadings above, containing 40 % or more by mass of pentafluoroethane (HFC-125)</t>
  </si>
  <si>
    <t>Containing other hydrofluorocarbons (HFCs) but not containing chlorofluorocarbons (CFCs) or hydrochlorofluorocarbons (HCFCs): Other, not included in the subheadings above, containing 40 % or more by mass of pentafluoroethane (HFC-125)</t>
  </si>
  <si>
    <t>CHAPTER 38 - MISCELLANEOUS CHEMICAL PRODUCTS: Mixtures containing halogenated derivatives of methane, ethane or propane, not elsewhere specified or included: Containing other hydrofluorocarbons (HFCs) but not containing chlorofluorocarbons (CFCs) or hydrochlorofluorocarbons (HCFCs): Other, not included in the subheadings above, containing 30 % or more by mass of 1,1,1,2-tetrafluoroethane (HFC-134a) but not containing unsaturated fluorinated derivatives of acyclic hydrocarbons (HFOs)</t>
  </si>
  <si>
    <t>Containing other hydrofluorocarbons (HFCs) but not containing chlorofluorocarbons (CFCs) or hydrochlorofluorocarbons (HCFCs): Other, not included in the subheadings above, containing 30 % or more by mass of 1,1,1,2-tetrafluoroethane (HFC-134a) but not containing unsaturated fluorinated derivatives of acyclic hydrocarbons (HFOs)</t>
  </si>
  <si>
    <t>CHAPTER 38 - MISCELLANEOUS CHEMICAL PRODUCTS: Mixtures containing halogenated derivatives of methane, ethane or propane, not elsewhere specified or included: Containing other hydrofluorocarbons (HFCs) but not containing chlorofluorocarbons (CFCs) or hydrochlorofluorocarbons (HCFCs): Other, not included in the subheadings above, containing 20 % or more by mass of difluoromethane (HFC-32) and 20 % or more by mass of pentafluoroethane (HFC-125)</t>
  </si>
  <si>
    <t>Containing other hydrofluorocarbons (HFCs) but not containing chlorofluorocarbons (CFCs) or hydrochlorofluorocarbons (HCFCs): Other, not included in the subheadings above, containing 20 % or more by mass of difluoromethane (HFC-32) and 20 % or more by mass of pentafluoroethane (HFC-125)</t>
  </si>
  <si>
    <t>CHAPTER 38 - MISCELLANEOUS CHEMICAL PRODUCTS: Mixtures containing halogenated derivatives of methane, ethane or propane, not elsewhere specified or included: Containing other hydrofluorocarbons (HFCs) but not containing chlorofluorocarbons (CFCs) or hydrochlorofluorocarbons (HCFCs): Other, not included in the subheadings above, containing substances of subheadings 290341 to 290348</t>
  </si>
  <si>
    <t>Containing other hydrofluorocarbons (HFCs) but not containing chlorofluorocarbons (CFCs) or hydrochlorofluorocarbons (HCFCs): Other, not included in the subheadings above, containing substances of subheadings 290341 to 290348</t>
  </si>
  <si>
    <t>CHAPTER 38 - MISCELLANEOUS CHEMICAL PRODUCTS: Mixtures containing halogenated derivatives of methane, ethane or propane, not elsewhere specified or included: Containing other hydrofluorocarbons (HFCs) but not containing chlorofluorocarbons (CFCs) or hydrochlorofluorocarbons (HCFCs): Other</t>
  </si>
  <si>
    <t>Containing other hydrofluorocarbons (HFCs) but not containing chlorofluorocarbons (CFCs) or hydrochlorofluorocarbons (HCFCs): Other</t>
  </si>
  <si>
    <t>CHAPTER 38 - MISCELLANEOUS CHEMICAL PRODUCTS: Mixtures containing halogenated derivatives of methane, ethane or propane, not elsewhere specified or included: Other</t>
  </si>
  <si>
    <t>CHAPTER 39 - PLASTICS AND ARTICLES THEREOF: Polyacetals, other polyethers and epoxide resins, in primary forms; polycarbonates, alkyd resins, polyallyl esters and other polyesters, in primary forms: Other polyethers: Polyether alcohols: Polyethylene glycols</t>
  </si>
  <si>
    <t>CHAPTER 39 - PLASTICS AND ARTICLES THEREOF</t>
  </si>
  <si>
    <t>Polyacetals, other polyethers and epoxide resins, in primary forms; polycarbonates, alkyd resins, polyallyl esters and other polyesters, in primary forms</t>
  </si>
  <si>
    <t>Other polyethers</t>
  </si>
  <si>
    <t>CHAPTER 39 - PLASTICS AND ARTICLES THEREOF: Polyacetals, other polyethers and epoxide resins, in primary forms; polycarbonates, alkyd resins, polyallyl esters and other polyesters, in primary forms: Other polyethers: Polyether alcohols: Other</t>
  </si>
  <si>
    <t>CHAPTER 39 - PLASTICS AND ARTICLES THEREOF: Polyacetals, other polyethers and epoxide resins, in primary forms; polycarbonates, alkyd resins, polyallyl esters and other polyesters, in primary forms: Other polyethers: Other: Copolymer of 1-chloro-2,3-epoxypropane with ethylene oxide</t>
  </si>
  <si>
    <t>CHAPTER 39 - PLASTICS AND ARTICLES THEREOF: Polyacetals, other polyethers and epoxide resins, in primary forms; polycarbonates, alkyd resins, polyallyl esters and other polyesters, in primary forms: Other polyethers: Other: Other</t>
  </si>
  <si>
    <t>CHAPTER 39 - PLASTICS AND ARTICLES THEREOF: Polyacetals, other polyethers and epoxide resins, in primary forms; polycarbonates, alkyd resins, polyallyl esters and other polyesters, in primary forms: Other polyethers: Bis(polyoxyethylene) methylphosphonate</t>
  </si>
  <si>
    <t>Other polyethers: Bis(polyoxyethylene) methylphosphonate</t>
  </si>
  <si>
    <t>CHAPTER 39 - PLASTICS AND ARTICLES THEREOF: Polyacetals, other polyethers and epoxide resins, in primary forms; polycarbonates, alkyd resins, polyallyl esters and other polyesters, in primary forms: Other polyethers: Other: Polyether alcohols: Polyethylene glycols</t>
  </si>
  <si>
    <t>Polyether alcohols: Polyethylene glycols</t>
  </si>
  <si>
    <t>CHAPTER 39 - PLASTICS AND ARTICLES THEREOF: Polyacetals, other polyethers and epoxide resins, in primary forms; polycarbonates, alkyd resins, polyallyl esters and other polyesters, in primary forms: Other polyethers: Other: Polyether alcohols: Other</t>
  </si>
  <si>
    <t>Polyether alcohols: Other</t>
  </si>
  <si>
    <t>CHAPTER 39 - PLASTICS AND ARTICLES THEREOF: Polyacetals, other polyethers and epoxide resins, in primary forms; polycarbonates, alkyd resins, polyallyl esters and other polyesters, in primary forms: Other polyethers: Other: Other: Copolymer of 1-chloro-2,3-epoxypropane with ethylene oxide</t>
  </si>
  <si>
    <t>Other: Copolymer of 1-chloro-2,3-epoxypropane with ethylene oxide</t>
  </si>
  <si>
    <t>CHAPTER 39 - PLASTICS AND ARTICLES THEREOF: Polyacetals, other polyethers and epoxide resins, in primary forms; polycarbonates, alkyd resins, polyallyl esters and other polyesters, in primary forms: Other polyethers: Other: Other: Other</t>
  </si>
  <si>
    <t>CHAPTER 39 - PLASTICS AND ARTICLES THEREOF: Petroleum resins, coumarone-indene resins, polyterpenes, polysulphides, polysulphones and other products specified in note 3 to this chapter, not elsewhere specified or included, in primary forms: Poly(1,3-phenylene methylphosphonate)</t>
  </si>
  <si>
    <t>Poly(1,3-phenylene methylphosphonate)</t>
  </si>
  <si>
    <t>Petroleum resins, coumarone-indene resins, polyterpenes, polysulphides, polysulphones and other products specified in note 3 to this chapter, not elsewhere specified or included, in primary forms</t>
  </si>
  <si>
    <t>CHAPTER 40 - RUBBER AND ARTICLES THEREOF: Articles of apparel and clothing accessories (including gloves, mittens and mitts), for all purposes, of vulcanised rubber other than hard rubber: Gloves, mittens and mitts: Surgical</t>
  </si>
  <si>
    <t>CHAPTER 40 - RUBBER AND ARTICLES THEREOF</t>
  </si>
  <si>
    <t>Articles of apparel and clothing accessories (including gloves, mittens and mitts), for all purposes, of vulcanised rubber other than hard rubber</t>
  </si>
  <si>
    <t>Gloves, mittens and mitts :"Surgical</t>
  </si>
  <si>
    <t>CHAPTER 40 - RUBBER AND ARTICLES THEREOF: Articles of apparel and clothing accessories (including gloves, mittens and mitts), for all purposes, of vulcanised rubber other than hard rubber: Gloves, mittens and mitts: Of a kind used for medical, surgical, dental or veterinary purposes</t>
  </si>
  <si>
    <t>Gloves, mittens and mitts: Of a kind used for medical, surgical, dental or veterinary purposes</t>
  </si>
  <si>
    <t>Gloves, mittens and mitts :</t>
  </si>
  <si>
    <t>CHAPTER 44 - WOOD AND ARTICLES OF WOOD; WOOD CHARCOAL: Fuel wood, in logs, in billets, in twigs, in faggots or in similar forms; wood in chips or particles; sawdust and wood waste and scrap, whether or not agglomerated in logs, briquettes, pellets or similar forms: Sawdust and wood waste and scrap, agglomerated in logs, briquettes, pellets or similar forms: Wood briquettes</t>
  </si>
  <si>
    <t>Sawdust and wood waste and scrap, agglomerated in logs, briquettes, pellets or similar forms: Wood briquettes</t>
  </si>
  <si>
    <t>CHAPTER 44 - WOOD AND ARTICLES OF WOOD; WOOD CHARCOAL</t>
  </si>
  <si>
    <t>Fuel wood, in logs, in billets, in twigs, in faggots or in similar forms; wood in chips or particles; sawdust and wood waste and scrap, whether or not agglomerated in logs, briquettes, pellets or similar forms</t>
  </si>
  <si>
    <t>CHAPTER 44 - WOOD AND ARTICLES OF WOOD; WOOD CHARCOAL: Fuel wood, in logs, in billets, in twigs, in faggots or in similar forms; wood in chips or particles; sawdust and wood waste and scrap, whether or not agglomerated in logs, briquettes, pellets or similar forms: Sawdust and wood waste and scrap, not agglomerated: Sawdust</t>
  </si>
  <si>
    <t>CHAPTER 44 - WOOD AND ARTICLES OF WOOD; WOOD CHARCOAL: Fuel wood, in logs, in billets, in twigs, in faggots or in similar forms; wood in chips or particles; sawdust and wood waste and scrap, whether or not agglomerated in logs, briquettes, pellets or similar forms: Sawdust and wood waste and scrap, not agglomerated: Other</t>
  </si>
  <si>
    <t>Sawdust and wood waste and scrap, not agglomerated: Sawdust</t>
  </si>
  <si>
    <t>Sawdust and wood waste and scrap, not agglomerated: Other</t>
  </si>
  <si>
    <t>CHAPTER 44 - WOOD AND ARTICLES OF WOOD; WOOD CHARCOAL: Wood charcoal (including shell or nut charcoal), whether or not agglomerated: Of shell or nut</t>
  </si>
  <si>
    <t>Of shell or nut</t>
  </si>
  <si>
    <t>Wood charcoal (including shell or nut charcoal), whether or not agglomerated</t>
  </si>
  <si>
    <t>CHAPTER 44 - WOOD AND ARTICLES OF WOOD; WOOD CHARCOAL: Wood in the rough, whether or not stripped of bark or sapwood, or roughly squared: Other, of tropical wood: Teak</t>
  </si>
  <si>
    <t>Other, of tropical wood: Teak</t>
  </si>
  <si>
    <t>Wood in the rough, whether or not stripped of bark or sapwood, or roughly squared</t>
  </si>
  <si>
    <t>Other, of tropical wood specified in Subheading Note 1 to this Chapter :</t>
  </si>
  <si>
    <t>CHAPTER 44 - WOOD AND ARTICLES OF WOOD; WOOD CHARCOAL: Wood sawn or chipped lengthwise, sliced or peeled, whether or not planed, sanded or end-jointed, of a thickness exceeding 6 mm: Coniferous: Of S-P-F (spruce (Picea spp.), pine (Pinus spp.) and fir (Abies spp.))</t>
  </si>
  <si>
    <t>Coniferous: Of S-P-F (spruce (Picea spp.), pine (Pinus spp.) and fir (Abies spp.))</t>
  </si>
  <si>
    <t>Wood sawn or chipped lengthwise, sliced or peeled, whether or not planed, sanded or end-jointed, of a thickness exceeding 6 mm</t>
  </si>
  <si>
    <t>CHAPTER 44 - WOOD AND ARTICLES OF WOOD; WOOD CHARCOAL: Wood sawn or chipped lengthwise, sliced or peeled, whether or not planed, sanded or end-jointed, of a thickness exceeding 6 mm: Coniferous: Of Hem-fir (Western hemlock (Tsuga heterophylla) and fir (Abies spp.))</t>
  </si>
  <si>
    <t>Coniferous: Of Hem-fir (Western hemlock (Tsuga heterophylla) and fir (Abies spp.))</t>
  </si>
  <si>
    <t>CHAPTER 44 - WOOD AND ARTICLES OF WOOD; WOOD CHARCOAL: Wood sawn or chipped lengthwise, sliced or peeled, whether or not planed, sanded or end-jointed, of a thickness exceeding 6 mm: Of tropical wood: Teak: Sanded; end-jointed, whether or not planed or sanded</t>
  </si>
  <si>
    <t>Sanded; end-jointed, whether or not planed or sanded</t>
  </si>
  <si>
    <t>Of tropical wood specified in Subheading Note 1 to this Chapter :</t>
  </si>
  <si>
    <t>CHAPTER 44 - WOOD AND ARTICLES OF WOOD; WOOD CHARCOAL: Wood sawn or chipped lengthwise, sliced or peeled, whether or not planed, sanded or end-jointed, of a thickness exceeding 6 mm: Of tropical wood: Teak: Planed</t>
  </si>
  <si>
    <t>Planed</t>
  </si>
  <si>
    <t>CHAPTER 44 - WOOD AND ARTICLES OF WOOD; WOOD CHARCOAL: Wood sawn or chipped lengthwise, sliced or peeled, whether or not planed, sanded or end-jointed, of a thickness exceeding 6 mm: Of tropical wood: Teak: Other</t>
  </si>
  <si>
    <t>CHAPTER 44 - WOOD AND ARTICLES OF WOOD; WOOD CHARCOAL: Fibreboard of wood or other ligneous materials, whether or not bonded with resins or other organic substances: Medium density fibreboard (MDF): Of a thickness not exceeding 5 mm: Other</t>
  </si>
  <si>
    <t>Fibreboard of wood or other ligneous materials, whether or not bonded with resins or other organic substances</t>
  </si>
  <si>
    <t>Medium density fibreboard (MDF) :"Of a thickness not exceeding 5 mm</t>
  </si>
  <si>
    <t>CHAPTER 44 - WOOD AND ARTICLES OF WOOD; WOOD CHARCOAL: Fibreboard of wood or other ligneous materials, whether or not bonded with resins or other organic substances: Medium density fibreboard (MDF): Of a thickness not exceeding 5 mm: Other: Of a density exceeding 0,8 g/cm³ (HDF)</t>
  </si>
  <si>
    <t>Other: Of a density exceeding 0,8 g/cm³ (HDF)</t>
  </si>
  <si>
    <t>CHAPTER 44 - WOOD AND ARTICLES OF WOOD; WOOD CHARCOAL: Fibreboard of wood or other ligneous materials, whether or not bonded with resins or other organic substances: Medium density fibreboard (MDF): Of a thickness not exceeding 5 mm: Other: Of a density not exceeding 0,8 g/cm³</t>
  </si>
  <si>
    <t>Other: Of a density not exceeding 0,8 g/cm³</t>
  </si>
  <si>
    <t>CHAPTER 44 - WOOD AND ARTICLES OF WOOD; WOOD CHARCOAL: Fibreboard of wood or other ligneous materials, whether or not bonded with resins or other organic substances: Medium density fibreboard (MDF): Of a thickness exceeding 5 mm but not exceeding 9 mm: Other</t>
  </si>
  <si>
    <t>Medium density fibreboard (MDF) :"Of a thickness exceeding 5 mm but not exceeding 9 mm</t>
  </si>
  <si>
    <t>CHAPTER 44 - WOOD AND ARTICLES OF WOOD; WOOD CHARCOAL: Fibreboard of wood or other ligneous materials, whether or not bonded with resins or other organic substances: Medium density fibreboard (MDF): Of a thickness exceeding 5 mm but not exceeding 9 mm: Other: Of a density exceeding 0,8 g/cm³ (HDF)</t>
  </si>
  <si>
    <t>CHAPTER 44 - WOOD AND ARTICLES OF WOOD; WOOD CHARCOAL: Fibreboard of wood or other ligneous materials, whether or not bonded with resins or other organic substances: Medium density fibreboard (MDF): Of a thickness exceeding 5 mm but not exceeding 9 mm: Other: Of a density not exceeding 0,8 g/cm³</t>
  </si>
  <si>
    <t>CHAPTER 44 - WOOD AND ARTICLES OF WOOD; WOOD CHARCOAL: Fibreboard of wood or other ligneous materials, whether or not bonded with resins or other organic substances: Medium density fibreboard (MDF): Of a thickness exceeding 9 mm: Other</t>
  </si>
  <si>
    <t>Medium density fibreboard (MDF) :"Of a thickness exceeding 9 mm</t>
  </si>
  <si>
    <t>CHAPTER 44 - WOOD AND ARTICLES OF WOOD; WOOD CHARCOAL: Fibreboard of wood or other ligneous materials, whether or not bonded with resins or other organic substances: Medium density fibreboard (MDF): Of a thickness exceeding 9 mm: Other: Of a density exceeding 0,8 g/cm³ (HDF)</t>
  </si>
  <si>
    <t>CHAPTER 44 - WOOD AND ARTICLES OF WOOD; WOOD CHARCOAL: Fibreboard of wood or other ligneous materials, whether or not bonded with resins or other organic substances: Medium density fibreboard (MDF): Of a thickness exceeding 9 mm: Other: Of a density exceeding 0,5 g/cm³ but not exceeding 0,8 g/cm³</t>
  </si>
  <si>
    <t>Other: Of a density exceeding 0,5 g/cm³ but not exceeding 0,8 g/cm³</t>
  </si>
  <si>
    <t>CHAPTER 44 - WOOD AND ARTICLES OF WOOD; WOOD CHARCOAL: Fibreboard of wood or other ligneous materials, whether or not bonded with resins or other organic substances: Medium density fibreboard (MDF): Of a thickness exceeding 9 mm: Other: Of a density not exceeding 0,5 g/cm³</t>
  </si>
  <si>
    <t>Other: Of a density not exceeding 0,5 g/cm³</t>
  </si>
  <si>
    <t>CHAPTER 44 - WOOD AND ARTICLES OF WOOD; WOOD CHARCOAL: Fibreboard of wood or other ligneous materials, whether or not bonded with resins or other organic substances: Other: Of a density exceeding 0,5 g/cm³ but not exceeding 0,8 g/cm³</t>
  </si>
  <si>
    <t>Other: Of a density exceeding 0,5 g/cm³ but not exceeding 0,8 g/cm³</t>
  </si>
  <si>
    <t>Other :"Of a density exceeding 0.5 g/cm³ but not exceeding 0.8 g/cm³</t>
  </si>
  <si>
    <t>CHAPTER 44 - WOOD AND ARTICLES OF WOOD; WOOD CHARCOAL: Fibreboard of wood or other ligneous materials, whether or not bonded with resins or other organic substances: Other: Of a density exceeding 0,5 g/cm³ but not exceeding 0,8 g/cm³: Not mechanically worked or surface covered</t>
  </si>
  <si>
    <t>CHAPTER 44 - WOOD AND ARTICLES OF WOOD; WOOD CHARCOAL: Fibreboard of wood or other ligneous materials, whether or not bonded with resins or other organic substances: Other: Of a density exceeding 0,5 g/cm³ but not exceeding 0,8 g/cm³: Other</t>
  </si>
  <si>
    <t>CHAPTER 44 - WOOD AND ARTICLES OF WOOD; WOOD CHARCOAL: Plywood, veneered panels and similar laminated wood: Other plywood consisting solely of sheets of wood (other than bamboo), each ply not exceeding 6 mm thickness: Other, with at least one outer ply of non-coniferous wood of the species alder (Alnus spp.), ash (Fraxinus spp.), beech (Fagus spp.), birch (Betula spp.), cherry (Prunus spp.) chestnut (Castanea spp.), elm (Ulmus spp.), eucalyptus (Eucalyptus spp.), hickory (Carya spp.), horse chestnut (Aesculus spp.), lime (Tilia spp.), maple (Acer spp.) oak (Quercus spp.), plane tree (Platanus spp.), poplar and aspen (Populus spp.) robinia (Robinia spp.) tulipwood (Liriodendron spp.) or walnut (Juglans spp.)</t>
  </si>
  <si>
    <t>Plywood, veneered panels and similar laminated wood</t>
  </si>
  <si>
    <t>Other plywood, consisting solely of sheets of wood (other than bamboo), each ply not exceeding 6 mm thickness :</t>
  </si>
  <si>
    <t>CHAPTER 44 - WOOD AND ARTICLES OF WOOD; WOOD CHARCOAL: Plywood, veneered panels and similar laminated wood: Other plywood consisting solely of sheets of wood (other than bamboo), each ply not exceeding 6 mm thickness: Other, with at least one outer ply of non-coniferous wood of the species alder (Alnus spp.), ash (Fraxinus spp.), beech (Fagus spp.), birch (Betula spp.), cherry (Prunus spp.) chestnut (Castanea spp.), elm (Ulmus spp.), eucalyptus (Eucalyptus spp.), hickory (Carya spp.), horse chestnut (Aesculus spp.), lime (Tilia spp.), maple (Acer spp.) oak (Quercus spp.), plane tree (Platanus spp.), poplar and aspen (Populus spp.) robinia (Robinia spp.) tulipwood (Liriodendron spp.) or walnut (Juglans spp.): With a least one outer ply of birch (Betula spp.)</t>
  </si>
  <si>
    <t>With a least one outer ply of birch (Betula spp.)</t>
  </si>
  <si>
    <t>CHAPTER 44 - WOOD AND ARTICLES OF WOOD; WOOD CHARCOAL: Plywood, veneered panels and similar laminated wood: Other plywood consisting solely of sheets of wood (other than bamboo), each ply not exceeding 6 mm thickness: Other, with at least one outer ply of non-coniferous wood of the species alder (Alnus spp.), ash (Fraxinus spp.), beech (Fagus spp.), birch (Betula spp.), cherry (Prunus spp.) chestnut (Castanea spp.), elm (Ulmus spp.), eucalyptus (Eucalyptus spp.), hickory (Carya spp.), horse chestnut (Aesculus spp.), lime (Tilia spp.), maple (Acer spp.) oak (Quercus spp.), plane tree (Platanus spp.), poplar and aspen (Populus spp.) robinia (Robinia spp.) tulipwood (Liriodendron spp.) or walnut (Juglans spp.): With no outer ply of birch, but with at least one outer ply of poplar or aspen (Populus spp.)</t>
  </si>
  <si>
    <t>With no outer ply of birch, but with at least one outer ply of poplar or aspen (Populus spp.)</t>
  </si>
  <si>
    <t>CHAPTER 44 - WOOD AND ARTICLES OF WOOD; WOOD CHARCOAL: Plywood, veneered panels and similar laminated wood: Other plywood consisting solely of sheets of wood (other than bamboo), each ply not exceeding 6 mm thickness: Other, with at least one outer ply of non-coniferous wood of the species alder (Alnus spp.), ash (Fraxinus spp.), beech (Fagus spp.), birch (Betula spp.), cherry (Prunus spp.) chestnut (Castanea spp.), elm (Ulmus spp.), eucalyptus (Eucalyptus spp.), hickory (Carya spp.), horse chestnut (Aesculus spp.), lime (Tilia spp.), maple (Acer spp.) oak (Quercus spp.), plane tree (Platanus spp.), poplar and aspen (Populus spp.) robinia (Robinia spp.) tulipwood (Liriodendron spp.) or walnut (Juglans spp.): With no outer ply of birch, poplar or aspen (Populus spp.), but with at least one outer ply of eucalyptus (Eucalyptus spp.)</t>
  </si>
  <si>
    <t>With no outer ply of birch, poplar or aspen (Populus spp.), but with at least one outer ply of eucalyptus (Eucalyptus spp.)</t>
  </si>
  <si>
    <t>CHAPTER 44 - WOOD AND ARTICLES OF WOOD; WOOD CHARCOAL: Plywood, veneered panels and similar laminated wood: Other plywood consisting solely of sheets of wood (other than bamboo), each ply not exceeding 6 mm thickness: Other, with at least one outer ply of non-coniferous wood of the species alder (Alnus spp.), ash (Fraxinus spp.), beech (Fagus spp.), birch (Betula spp.), cherry (Prunus spp.) chestnut (Castanea spp.), elm (Ulmus spp.), eucalyptus (Eucalyptus spp.), hickory (Carya spp.), horse chestnut (Aesculus spp.), lime (Tilia spp.), maple (Acer spp.) oak (Quercus spp.), plane tree (Platanus spp.), poplar and aspen (Populus spp.) robinia (Robinia spp.) tulipwood (Liriodendron spp.) or walnut (Juglans spp.): Other</t>
  </si>
  <si>
    <t>CHAPTER 44 - WOOD AND ARTICLES OF WOOD; WOOD CHARCOAL: Plywood, veneered panels and similar laminated wood: Laminated veneered lumber (LVL): With at least one outer ply of tropical wood: With a least one outer layer of non-coniferous wood</t>
  </si>
  <si>
    <t>With a least one outer layer of non-coniferous wood</t>
  </si>
  <si>
    <t>CHAPTER 44 - WOOD AND ARTICLES OF WOOD; WOOD CHARCOAL: Plywood, veneered panels and similar laminated wood: Laminated veneered lumber (LVL): With at least one outer ply of tropical wood: Other</t>
  </si>
  <si>
    <t>CHAPTER 44 - WOOD AND ARTICLES OF WOOD; WOOD CHARCOAL: Plywood, veneered panels and similar laminated wood: Laminated veneered lumber (LVL): Other, with at least one outer ply of non-coniferous wood</t>
  </si>
  <si>
    <t>Laminated veneered lumber (LVL): Other, with at least one outer ply of non-coniferous wood</t>
  </si>
  <si>
    <t>CHAPTER 44 - WOOD AND ARTICLES OF WOOD; WOOD CHARCOAL: Plywood, veneered panels and similar laminated wood: Laminated veneered lumber (LVL): Other, with both outer plies of coniferous wood</t>
  </si>
  <si>
    <t>Laminated veneered lumber (LVL): Other, with both outer plies of coniferous wood</t>
  </si>
  <si>
    <t>CHAPTER 44 - WOOD AND ARTICLES OF WOOD; WOOD CHARCOAL: Plywood, veneered panels and similar laminated wood: Blockboard, laminboard and battenboard: With at least one outer ply of tropical wood: With a least one outer ply of non-coniferous wood</t>
  </si>
  <si>
    <t>With a least one outer ply of non-coniferous wood</t>
  </si>
  <si>
    <t>CHAPTER 44 - WOOD AND ARTICLES OF WOOD; WOOD CHARCOAL: Plywood, veneered panels and similar laminated wood: Blockboard, laminboard and battenboard: With at least one outer ply of tropical wood: Other</t>
  </si>
  <si>
    <t>CHAPTER 44 - WOOD AND ARTICLES OF WOOD; WOOD CHARCOAL: Plywood, veneered panels and similar laminated wood: Blockboard, laminboard and battenboard: Other, with at least one outer ply of non-coniferous wood</t>
  </si>
  <si>
    <t>Blockboard, laminboard and battenboard: Other, with at least one outer ply of non-coniferous wood</t>
  </si>
  <si>
    <t>CHAPTER 44 - WOOD AND ARTICLES OF WOOD; WOOD CHARCOAL: Plywood, veneered panels and similar laminated wood: Blockboard, laminboard and battenboard: Other, with both outer plies of coniferous wood</t>
  </si>
  <si>
    <t>Blockboard, laminboard and battenboard: Other, with both outer plies of coniferous wood</t>
  </si>
  <si>
    <t>CHAPTER 44 - WOOD AND ARTICLES OF WOOD; WOOD CHARCOAL: Plywood, veneered panels and similar laminated wood: Other: With at least one outer ply of tropical wood: Containing at least one layer of particle board</t>
  </si>
  <si>
    <t>Containing at least one layer of particle board</t>
  </si>
  <si>
    <t>CHAPTER 44 - WOOD AND ARTICLES OF WOOD; WOOD CHARCOAL: Plywood, veneered panels and similar laminated wood: Other: With at least one outer ply of tropical wood: Other: With at least one outer layer of non-coniferous wood</t>
  </si>
  <si>
    <t>Other: With at least one outer layer of non-coniferous wood</t>
  </si>
  <si>
    <t>CHAPTER 44 - WOOD AND ARTICLES OF WOOD; WOOD CHARCOAL: Plywood, veneered panels and similar laminated wood: Other: With at least one outer ply of tropical wood: Other: Other</t>
  </si>
  <si>
    <t>CHAPTER 44 - WOOD AND ARTICLES OF WOOD; WOOD CHARCOAL: Plywood, veneered panels and similar laminated wood: Other: Other, with at least one outer ply of non-coniferous wood: Containing at least one layer of particle board</t>
  </si>
  <si>
    <t>CHAPTER 44 - WOOD AND ARTICLES OF WOOD; WOOD CHARCOAL: Plywood, veneered panels and similar laminated wood: Other: Other, with at least one outer ply of non-coniferous wood: Other</t>
  </si>
  <si>
    <t>CHAPTER 44 - WOOD AND ARTICLES OF WOOD; WOOD CHARCOAL: Plywood, veneered panels and similar laminated wood: Other: Blockboard, laminboard and battenboard: With at least one outer ply of non-coniferous wood</t>
  </si>
  <si>
    <t>Other :"Blockboard, laminboard and battenboard</t>
  </si>
  <si>
    <t>CHAPTER 44 - WOOD AND ARTICLES OF WOOD; WOOD CHARCOAL: Plywood, veneered panels and similar laminated wood: Other: Blockboard, laminboard and battenboard: Other</t>
  </si>
  <si>
    <t>CHAPTER 44 - WOOD AND ARTICLES OF WOOD; WOOD CHARCOAL: Plywood, veneered panels and similar laminated wood: Other: Other, with both outer plies of coniferous wood: Containing at least one layer of particle board</t>
  </si>
  <si>
    <t>Other :"Other</t>
  </si>
  <si>
    <t>CHAPTER 44 - WOOD AND ARTICLES OF WOOD; WOOD CHARCOAL: Plywood, veneered panels and similar laminated wood: Other: Other: Containing at least one layer of particle board</t>
  </si>
  <si>
    <t>CHAPTER 44 - WOOD AND ARTICLES OF WOOD; WOOD CHARCOAL: Plywood, veneered panels and similar laminated wood: Other: Other: Other: With at least one outer ply of non-coniferous wood: Of alder, ash, beech, birch, cherry, chestnut, elm, hickory, hornbeam, horse chestnut, lime, maple, oak, plane tree, poplar, robinia, walnut or yellow poplar</t>
  </si>
  <si>
    <t>CHAPTER 44 - WOOD AND ARTICLES OF WOOD; WOOD CHARCOAL: Plywood, veneered panels and similar laminated wood: Other: Other: Other: With at least one outer ply of non-coniferous wood: Other</t>
  </si>
  <si>
    <t>CHAPTER 44 - WOOD AND ARTICLES OF WOOD; WOOD CHARCOAL: Plywood, veneered panels and similar laminated wood: Other: Other: Other: Other</t>
  </si>
  <si>
    <t>CHAPTER 44 - WOOD AND ARTICLES OF WOOD; WOOD CHARCOAL: Plywood, veneered panels and similar laminated wood: Other: Other, with both outer plies of coniferous wood: Other</t>
  </si>
  <si>
    <t>CHAPTER 44 - WOOD AND ARTICLES OF WOOD; WOOD CHARCOAL: Wooden frames for paintings, photographs, mirrors or similar objects: Of tropical wood specified in additional note 2 to this chapter</t>
  </si>
  <si>
    <t>Wooden frames for paintings, photographs, mirrors or similar objects</t>
  </si>
  <si>
    <t>Wooden frames for paintings, photographs, mirrors or similar objects.</t>
  </si>
  <si>
    <t>CHAPTER 44 - WOOD AND ARTICLES OF WOOD; WOOD CHARCOAL: Wooden frames for paintings, photographs, mirrors or similar objects: Of other wood</t>
  </si>
  <si>
    <t>CHAPTER 44 - WOOD AND ARTICLES OF WOOD; WOOD CHARCOAL: Wooden frames for paintings, photographs, mirrors or similar objects: Of tropical wood: Of tropical wood specified in additional note 2 to this chapter</t>
  </si>
  <si>
    <t>Of tropical wood specified in additional note 2 to this chapter</t>
  </si>
  <si>
    <t>CHAPTER 44 - WOOD AND ARTICLES OF WOOD; WOOD CHARCOAL: Wooden frames for paintings, photographs, mirrors or similar objects: Of tropical wood: Other</t>
  </si>
  <si>
    <t>CHAPTER 44 - WOOD AND ARTICLES OF WOOD; WOOD CHARCOAL: Wooden frames for paintings, photographs, mirrors or similar objects: Other</t>
  </si>
  <si>
    <t>CHAPTER 44 - WOOD AND ARTICLES OF WOOD; WOOD CHARCOAL: Builders' joinery and carpentry of wood, including cellular wood panels, assembled flooring panels, shingles and shakes: Windows, French windows and their frames: Of tropical wood specified in additional note 2 to this chapter</t>
  </si>
  <si>
    <t>Builders' joinery and carpentry of wood, including cellular wood panels, assembled flooring panels, shingles and shakes</t>
  </si>
  <si>
    <t>Windows, French-windows and their frames</t>
  </si>
  <si>
    <t>CHAPTER 44 - WOOD AND ARTICLES OF WOOD; WOOD CHARCOAL: Builders' joinery and carpentry of wood, including cellular wood panels, assembled flooring panels, shingles and shakes: Windows, French windows and their frames: Coniferous</t>
  </si>
  <si>
    <t>CHAPTER 44 - WOOD AND ARTICLES OF WOOD; WOOD CHARCOAL: Builders' joinery and carpentry of wood, including cellular wood panels, assembled flooring panels, shingles and shakes: Windows, French windows and their frames: Of other wood</t>
  </si>
  <si>
    <t>CHAPTER 44 - WOOD AND ARTICLES OF WOOD; WOOD CHARCOAL: Builders' joinery and carpentry of wood, including cellular wood panels, assembled flooring panels, shingles and shakes: Windows, French windows and their frames: Of tropical wood</t>
  </si>
  <si>
    <t>Windows, French windows and their frames: Of tropical wood</t>
  </si>
  <si>
    <t>CHAPTER 44 - WOOD AND ARTICLES OF WOOD; WOOD CHARCOAL: Builders' joinery and carpentry of wood, including cellular wood panels, assembled flooring panels, shingles and shakes: Windows, French windows and their frames: Other: Coniferous</t>
  </si>
  <si>
    <t>Coniferous</t>
  </si>
  <si>
    <t>CHAPTER 44 - WOOD AND ARTICLES OF WOOD; WOOD CHARCOAL: Builders' joinery and carpentry of wood, including cellular wood panels, assembled flooring panels, shingles and shakes: Windows, French windows and their frames: Other: Other</t>
  </si>
  <si>
    <t>CHAPTER 44 - WOOD AND ARTICLES OF WOOD; WOOD CHARCOAL: Builders' joinery and carpentry of wood, including cellular wood panels, assembled flooring panels, shingles and shakes: Doors and their frames and thresholds: Of tropical wood specified in additional note 2 to this chapter</t>
  </si>
  <si>
    <t>Doors and their frames and thresholds</t>
  </si>
  <si>
    <t>CHAPTER 44 - WOOD AND ARTICLES OF WOOD; WOOD CHARCOAL: Builders' joinery and carpentry of wood, including cellular wood panels, assembled flooring panels, shingles and shakes: Doors and their frames and thresholds: Coniferous</t>
  </si>
  <si>
    <t>CHAPTER 44 - WOOD AND ARTICLES OF WOOD; WOOD CHARCOAL: Builders' joinery and carpentry of wood, including cellular wood panels, assembled flooring panels, shingles and shakes: Doors and their frames and thresholds: Of other wood</t>
  </si>
  <si>
    <t>CHAPTER 44 - WOOD AND ARTICLES OF WOOD; WOOD CHARCOAL: Builders' joinery and carpentry of wood, including cellular wood panels, assembled flooring panels, shingles and shakes: Doors and their frames and thresholds: Of tropical wood: Of tropical wood specified in additional note 2 to this chapter</t>
  </si>
  <si>
    <t>CHAPTER 44 - WOOD AND ARTICLES OF WOOD; WOOD CHARCOAL: Builders' joinery and carpentry of wood, including cellular wood panels, assembled flooring panels, shingles and shakes: Doors and their frames and thresholds: Of tropical wood: Other</t>
  </si>
  <si>
    <t>CHAPTER 44 - WOOD AND ARTICLES OF WOOD; WOOD CHARCOAL: Builders' joinery and carpentry of wood, including cellular wood panels, assembled flooring panels, shingles and shakes: Doors and their frames and thresholds: Other: Coniferous</t>
  </si>
  <si>
    <t>CHAPTER 44 - WOOD AND ARTICLES OF WOOD; WOOD CHARCOAL: Builders' joinery and carpentry of wood, including cellular wood panels, assembled flooring panels, shingles and shakes: Doors and their frames and thresholds: Other: Other</t>
  </si>
  <si>
    <t>CHAPTER 44 - WOOD AND ARTICLES OF WOOD; WOOD CHARCOAL: Builders' joinery and carpentry of wood, including cellular wood panels, assembled flooring panels, shingles and shakes: Posts and beams other than products of subheadings 441881 to 441889</t>
  </si>
  <si>
    <t>Posts and beams other than products of subheadings 441881 to 441889</t>
  </si>
  <si>
    <t>CHAPTER 44 - WOOD AND ARTICLES OF WOOD; WOOD CHARCOAL: Builders' joinery and carpentry of wood, including cellular wood panels, assembled flooring panels, shingles and shakes: Posts and beams</t>
  </si>
  <si>
    <t>Posts and beams</t>
  </si>
  <si>
    <t>CHAPTER 44 - WOOD AND ARTICLES OF WOOD; WOOD CHARCOAL: Builders' joinery and carpentry of wood, including cellular wood panels, assembled flooring panels, shingles and shakes: Engineered structural timber products: Glue-laminated timber (glulam)</t>
  </si>
  <si>
    <t>Engineered structural timber products: Glue-laminated timber (glulam)</t>
  </si>
  <si>
    <t>CHAPTER 44 - WOOD AND ARTICLES OF WOOD; WOOD CHARCOAL: Builders' joinery and carpentry of wood, including cellular wood panels, assembled flooring panels, shingles and shakes: Engineered structural timber products: Cross-laminated timber (CLT or X-lam)</t>
  </si>
  <si>
    <t>Engineered structural timber products: Cross-laminated timber (CLT or X-lam)</t>
  </si>
  <si>
    <t>CHAPTER 44 - WOOD AND ARTICLES OF WOOD; WOOD CHARCOAL: Builders' joinery and carpentry of wood, including cellular wood panels, assembled flooring panels, shingles and shakes: Engineered structural timber products: I beams</t>
  </si>
  <si>
    <t>Engineered structural timber products: I beams</t>
  </si>
  <si>
    <t>CHAPTER 44 - WOOD AND ARTICLES OF WOOD; WOOD CHARCOAL: Builders' joinery and carpentry of wood, including cellular wood panels, assembled flooring panels, shingles and shakes: Engineered structural timber products: Other</t>
  </si>
  <si>
    <t>Engineered structural timber products: Other</t>
  </si>
  <si>
    <t>CHAPTER 44 - WOOD AND ARTICLES OF WOOD; WOOD CHARCOAL: Builders' joinery and carpentry of wood, including cellular wood panels, assembled flooring panels, shingles and shakes: Other: Cellular wood panels</t>
  </si>
  <si>
    <t>Other: Cellular wood panels</t>
  </si>
  <si>
    <t>CHAPTER 44 - WOOD AND ARTICLES OF WOOD; WOOD CHARCOAL: Builders' joinery and carpentry of wood, including cellular wood panels, assembled flooring panels, shingles and shakes: Other: Other</t>
  </si>
  <si>
    <t>CHAPTER 44 - WOOD AND ARTICLES OF WOOD; WOOD CHARCOAL: Builders' joinery and carpentry of wood, including cellular wood panels, assembled flooring panels, shingles and shakes: Other: Other: Glue-laminated timber</t>
  </si>
  <si>
    <t>CHAPTER 44 - WOOD AND ARTICLES OF WOOD; WOOD CHARCOAL: Builders' joinery and carpentry of wood, including cellular wood panels, assembled flooring panels, shingles and shakes: Other: Other: Other</t>
  </si>
  <si>
    <t>CHAPTER 44 - WOOD AND ARTICLES OF WOOD; WOOD CHARCOAL: Tableware and kitchenware, of wood: Of tropical wood: Of tropical wood specified in additional note 2 to this chapter</t>
  </si>
  <si>
    <t>Tableware and kitchenware, of wood</t>
  </si>
  <si>
    <t>CHAPTER 44 - WOOD AND ARTICLES OF WOOD; WOOD CHARCOAL: Tableware and kitchenware, of wood: Of tropical wood: Other</t>
  </si>
  <si>
    <t>CHAPTER 44 - WOOD AND ARTICLES OF WOOD; WOOD CHARCOAL: Tableware and kitchenware, of wood: Other</t>
  </si>
  <si>
    <t>CHAPTER 44 - WOOD AND ARTICLES OF WOOD; WOOD CHARCOAL: Tableware and kitchenware, of wood: Other: Of tropical wood specified in additional note 2 to this chapter</t>
  </si>
  <si>
    <t>CHAPTER 44 - WOOD AND ARTICLES OF WOOD; WOOD CHARCOAL: Tableware and kitchenware, of wood: Other: Of other wood</t>
  </si>
  <si>
    <t>CHAPTER 44 - WOOD AND ARTICLES OF WOOD; WOOD CHARCOAL: Wood marquetry and inlaid wood; caskets and cases for jewellery or cutlery, and similar articles, of wood; statuettes and other ornaments, of wood; wooden articles of furniture not falling in Chapter 94: Statuettes and other ornaments, of wood: Of tropical wood specified in additional note 2 to this chapter</t>
  </si>
  <si>
    <t>Wood marquetry and inlaid wood; caskets and cases for jewellery or cutlery, and similar articles, of wood; statuettes and other ornaments, of wood; wooden articles of furniture not falling in Chapter 94</t>
  </si>
  <si>
    <t>Statuettes and other ornaments, of wood</t>
  </si>
  <si>
    <t>CHAPTER 44 - WOOD AND ARTICLES OF WOOD; WOOD CHARCOAL: Wood marquetry and inlaid wood; caskets and cases for jewellery or cutlery, and similar articles, of wood; statuettes and other ornaments, of wood; wooden articles of furniture not falling in Chapter 94: Statuettes and other ornaments, of wood: Of other wood</t>
  </si>
  <si>
    <t>CHAPTER 44 - WOOD AND ARTICLES OF WOOD; WOOD CHARCOAL: Wood marquetry and inlaid wood; caskets and cases for jewellery or cutlery, and similar articles, of wood; statuettes and other ornaments, of wood; wooden articles of furniture not falling in Chapter 94: Statuettes and other ornaments: Of tropical wood: Of tropical wood specified in additional note 2 to this chapter</t>
  </si>
  <si>
    <t>CHAPTER 44 - WOOD AND ARTICLES OF WOOD; WOOD CHARCOAL: Wood marquetry and inlaid wood; caskets and cases for jewellery or cutlery, and similar articles, of wood; statuettes and other ornaments, of wood; wooden articles of furniture not falling in Chapter 94: Statuettes and other ornaments: Of tropical wood: Other</t>
  </si>
  <si>
    <t>CHAPTER 44 - WOOD AND ARTICLES OF WOOD; WOOD CHARCOAL: Wood marquetry and inlaid wood; caskets and cases for jewellery or cutlery, and similar articles, of wood; statuettes and other ornaments, of wood; wooden articles of furniture not falling in Chapter 94: Statuettes and other ornaments: Other</t>
  </si>
  <si>
    <t>Statuettes and other ornaments: Other</t>
  </si>
  <si>
    <t>CHAPTER 44 - WOOD AND ARTICLES OF WOOD; WOOD CHARCOAL: Other articles of wood: Coffins</t>
  </si>
  <si>
    <t>Coffins</t>
  </si>
  <si>
    <t>Other articles of wood</t>
  </si>
  <si>
    <t>CHAPTER 44 - WOOD AND ARTICLES OF WOOD; WOOD CHARCOAL: Other articles of wood: Other: Other: Other: Coffins</t>
  </si>
  <si>
    <t>CHAPTER 49 - PRINTED BOOKS, NEWSPAPERS, PICTURES AND OTHER PRODUCTS OF THE PRINTING INDUSTRY; MANUSCRIPTS, TYPESCRIPTS AND PLANS: Maps and hydrographic or similar charts of all kinds, including atlases, wall maps, topographical plans and globes, printed: Globes</t>
  </si>
  <si>
    <t>CHAPTER 49 - PRINTED BOOKS, NEWSPAPERS, PICTURES AND OTHER PRODUCTS OF THE PRINTING INDUSTRY; MANUSCRIPTS, TYPESCRIPTS AND PLANS</t>
  </si>
  <si>
    <t>Maps and hydrographic or similar charts of all kinds, including atlases, wall maps, topographical plans and globes, printed</t>
  </si>
  <si>
    <t>Globes</t>
  </si>
  <si>
    <t>CHAPTER 49 - PRINTED BOOKS, NEWSPAPERS, PICTURES AND OTHER PRODUCTS OF THE PRINTING INDUSTRY; MANUSCRIPTS, TYPESCRIPTS AND PLANS: Maps and hydrographic or similar charts of all kinds, including atlases, wall maps, topographical plans and globes, printed: In book form</t>
  </si>
  <si>
    <t>In book form</t>
  </si>
  <si>
    <t>CHAPTER 49 - PRINTED BOOKS, NEWSPAPERS, PICTURES AND OTHER PRODUCTS OF THE PRINTING INDUSTRY; MANUSCRIPTS, TYPESCRIPTS AND PLANS: Maps and hydrographic or similar charts of all kinds, including atlases, wall maps, topographical plans and globes, printed: Other</t>
  </si>
  <si>
    <t>CHAPTER 49 - PRINTED BOOKS, NEWSPAPERS, PICTURES AND OTHER PRODUCTS OF THE PRINTING INDUSTRY; MANUSCRIPTS, TYPESCRIPTS AND PLANS: Maps and hydrographic or similar charts of all kinds, including atlases, wall maps, topographical plans and globes, printed: Other: In book form</t>
  </si>
  <si>
    <t>Other :"In book form</t>
  </si>
  <si>
    <t>CHAPTER 49 - PRINTED BOOKS, NEWSPAPERS, PICTURES AND OTHER PRODUCTS OF THE PRINTING INDUSTRY; MANUSCRIPTS, TYPESCRIPTS AND PLANS: Maps and hydrographic or similar charts of all kinds, including atlases, wall maps, topographical plans and globes, printed: Other: Other</t>
  </si>
  <si>
    <t>CHAPTER 55 - MAN-MADE STAPLE FIBRES: Synthetic filament tow: Of nylon or other polyamides</t>
  </si>
  <si>
    <t>CHAPTER 55 - MAN-MADE STAPLE FIBRES</t>
  </si>
  <si>
    <t>Synthetic filament tow</t>
  </si>
  <si>
    <t>Of nylon or other polyamides</t>
  </si>
  <si>
    <t>CHAPTER 55 - MAN-MADE STAPLE FIBRES: Synthetic filament tow: Of nylon or other polyamides: Of aramids</t>
  </si>
  <si>
    <t>Of nylon or other polyamides: Of aramids</t>
  </si>
  <si>
    <t>CHAPTER 55 - MAN-MADE STAPLE FIBRES: Synthetic filament tow: Of nylon or other polyamides: Other</t>
  </si>
  <si>
    <t>Of nylon or other polyamides: Other</t>
  </si>
  <si>
    <t>CHAPTER 57 - CARPETS AND OTHER TEXTILE FLOOR COVERINGS: Carpets and other textile floor coverings, tufted, whether or not made up: Of nylon or other polyamides: Printed: Tiles, having a maximum surface area of 1 m²</t>
  </si>
  <si>
    <t>CHAPTER 57 - CARPETS AND OTHER TEXTILE FLOOR COVERINGS</t>
  </si>
  <si>
    <t>Carpets and other textile floor coverings (including turf), tufted, whether or not made up</t>
  </si>
  <si>
    <t>CHAPTER 57 - CARPETS AND OTHER TEXTILE FLOOR COVERINGS: Carpets and other textile floor coverings, tufted, whether or not made up: Of nylon or other polyamides: Printed: Other</t>
  </si>
  <si>
    <t>CHAPTER 57 - CARPETS AND OTHER TEXTILE FLOOR COVERINGS: Carpets and other textile floor coverings, tufted, whether or not made up: Of nylon or other polyamides: Other: Tiles, having a maximum surface area of 1 m²</t>
  </si>
  <si>
    <t>CHAPTER 57 - CARPETS AND OTHER TEXTILE FLOOR COVERINGS: Carpets and other textile floor coverings, tufted, whether or not made up: Of nylon or other polyamides: Other: Other</t>
  </si>
  <si>
    <t>CHAPTER 57 - CARPETS AND OTHER TEXTILE FLOOR COVERINGS: Carpets and other textile floor coverings (including turf), tufted, whether or not made up: Of nylon or other polyamides: Turf</t>
  </si>
  <si>
    <t>Of nylon or other polyamides: Turf</t>
  </si>
  <si>
    <t>CHAPTER 57 - CARPETS AND OTHER TEXTILE FLOOR COVERINGS: Carpets and other textile floor coverings (including turf), tufted, whether or not made up: Of nylon or other polyamides: Other: Printed: Tiles, having a maximum surface area of 1 m²</t>
  </si>
  <si>
    <t>Printed: Tiles, having a maximum surface area of 1 m²</t>
  </si>
  <si>
    <t>CHAPTER 57 - CARPETS AND OTHER TEXTILE FLOOR COVERINGS: Carpets and other textile floor coverings (including turf), tufted, whether or not made up: Of nylon or other polyamides: Other: Printed: Other</t>
  </si>
  <si>
    <t>Printed: Other</t>
  </si>
  <si>
    <t>CHAPTER 57 - CARPETS AND OTHER TEXTILE FLOOR COVERINGS: Carpets and other textile floor coverings (including turf), tufted, whether or not made up: Of nylon or other polyamides: Other: Other: Tiles, having a maximum surface area of 1 m²</t>
  </si>
  <si>
    <t>Other: Tiles, having a maximum surface area of 1 m²</t>
  </si>
  <si>
    <t>CHAPTER 57 - CARPETS AND OTHER TEXTILE FLOOR COVERINGS: Carpets and other textile floor coverings (including turf), tufted, whether or not made up: Of nylon or other polyamides: Other: Other: Other</t>
  </si>
  <si>
    <t>CHAPTER 57 - CARPETS AND OTHER TEXTILE FLOOR COVERINGS: Carpets and other textile floor coverings, tufted, whether or not made up: Of other man-made textile materials: Of polypropylene: Tiles, having a maximum surface area of 1 m²</t>
  </si>
  <si>
    <t>Of other man-made textile materials</t>
  </si>
  <si>
    <t>CHAPTER 57 - CARPETS AND OTHER TEXTILE FLOOR COVERINGS: Carpets and other textile floor coverings, tufted, whether or not made up: Of other man-made textile materials: Of polypropylene: Other</t>
  </si>
  <si>
    <t>CHAPTER 57 - CARPETS AND OTHER TEXTILE FLOOR COVERINGS: Carpets and other textile floor coverings, tufted, whether or not made up: Of other man-made textile materials: Other: Tiles, having a maximum surface area of 1 m²</t>
  </si>
  <si>
    <t>CHAPTER 57 - CARPETS AND OTHER TEXTILE FLOOR COVERINGS: Carpets and other textile floor coverings, tufted, whether or not made up: Of other man-made textile materials: Other: Other</t>
  </si>
  <si>
    <t>CHAPTER 57 - CARPETS AND OTHER TEXTILE FLOOR COVERINGS: Carpets and other textile floor coverings (including turf), tufted, whether or not made up: Of other man-made textile materials: Turf</t>
  </si>
  <si>
    <t>Of other man-made textile materials: Turf</t>
  </si>
  <si>
    <t>CHAPTER 57 - CARPETS AND OTHER TEXTILE FLOOR COVERINGS: Carpets and other textile floor coverings (including turf), tufted, whether or not made up: Of other man-made textile materials: Other: Of polypropylene: Tiles, having a maximum surface area of 1 m²</t>
  </si>
  <si>
    <t>Of polypropylene: Tiles, having a maximum surface area of 1 m²</t>
  </si>
  <si>
    <t>CHAPTER 57 - CARPETS AND OTHER TEXTILE FLOOR COVERINGS: Carpets and other textile floor coverings (including turf), tufted, whether or not made up: Of other man-made textile materials: Other: Of polypropylene: Other</t>
  </si>
  <si>
    <t>Of polypropylene: Other</t>
  </si>
  <si>
    <t>CHAPTER 57 - CARPETS AND OTHER TEXTILE FLOOR COVERINGS: Carpets and other textile floor coverings (including turf), tufted, whether or not made up: Of other man-made textile materials: Other: Other: Tiles, having a maximum surface area of 1 m²</t>
  </si>
  <si>
    <t>CHAPTER 57 - CARPETS AND OTHER TEXTILE FLOOR COVERINGS: Carpets and other textile floor coverings (including turf), tufted, whether or not made up: Of other man-made textile materials: Other: Other: Other</t>
  </si>
  <si>
    <t>CHAPTER 58 - SPECIAL WOVEN FABRICS; TUFTED TEXTILE FABRICS; LACE; TAPESTRIES; TRIMMINGS; EMBROIDERY: Terry towelling and similar woven terry fabrics, other than narrow fabrics of heading 5806; tufted textile fabrics, other than products of heading 5703: Terry towelling and similar woven terry fabrics, of cotton</t>
  </si>
  <si>
    <t>Terry towelling and similar woven terry fabrics, of cotton</t>
  </si>
  <si>
    <t>CHAPTER 58 - SPECIAL WOVEN FABRICS; TUFTED TEXTILE FABRICS; LACE; TAPESTRIES; TRIMMINGS; EMBROIDERY</t>
  </si>
  <si>
    <t>Terry towelling and similar woven terry fabrics, other than narrow fabrics of heading 5806; tufted textile fabrics, other than products of heading 5703</t>
  </si>
  <si>
    <t>Terry towelling and similar woven terry fabrics, of cotton :</t>
  </si>
  <si>
    <t>CHAPTER 58 - SPECIAL WOVEN FABRICS; TUFTED TEXTILE FABRICS; LACE; TAPESTRIES; TRIMMINGS; EMBROIDERY: Terry towelling and similar woven terry fabrics, other than narrow fabrics of heading 5806; tufted textile fabrics, other than products of heading 5703: Terry towelling and similar woven terry fabrics, of cotton: Unbleached</t>
  </si>
  <si>
    <t>Terry towelling and similar woven terry fabrics, of cotton :"Unbleached</t>
  </si>
  <si>
    <t>CHAPTER 58 - SPECIAL WOVEN FABRICS; TUFTED TEXTILE FABRICS; LACE; TAPESTRIES; TRIMMINGS; EMBROIDERY: Terry towelling and similar woven terry fabrics, other than narrow fabrics of heading 5806; tufted textile fabrics, other than products of heading 5703: Terry towelling and similar woven terry fabrics, of cotton: Other</t>
  </si>
  <si>
    <t>Terry towelling and similar woven terry fabrics, of cotton :"Other</t>
  </si>
  <si>
    <t>CHAPTER 62 - ARTICLES OF APPAREL AND CLOTHING ACCESSORIES, NOT KNITTED OR CROCHETED: Men's or boys' overcoats, car coats, capes, cloaks, anoraks (including ski jackets), windcheaters, wind-jackets and similar articles, other than those of heading 6203: Overcoats, raincoats, car coats, capes, cloaks and similar articles: Of wool or fine animal hair</t>
  </si>
  <si>
    <t>CHAPTER 62 - ARTICLES OF APPAREL AND CLOTHING ACCESSORIES, NOT KNITTED OR CROCHETED</t>
  </si>
  <si>
    <t>Men's or boys' overcoats, car-coats, capes, cloaks, anoraks (including ski-jackets), wind-cheaters, wind-jackets and similar articles, other than those of heading 6203</t>
  </si>
  <si>
    <t>Overcoats, raincoats, car-coats, capes, cloaks and similar articles :"Of wool or fine animal hair</t>
  </si>
  <si>
    <t>CHAPTER 62 - ARTICLES OF APPAREL AND CLOTHING ACCESSORIES, NOT KNITTED OR CROCHETED: Men's or boys' overcoats, car coats, capes, cloaks, anoraks (including ski jackets), windcheaters, wind-jackets and similar articles, other than those of heading 6203: Overcoats, raincoats, car coats, capes, cloaks and similar articles: Of cotton: Of a weight, per garment, not exceeding 1 kg</t>
  </si>
  <si>
    <t>Overcoats, raincoats, car-coats, capes, cloaks and similar articles :"Of cotton</t>
  </si>
  <si>
    <t>CHAPTER 62 - ARTICLES OF APPAREL AND CLOTHING ACCESSORIES, NOT KNITTED OR CROCHETED: Men's or boys' overcoats, car coats, capes, cloaks, anoraks (including ski jackets), windcheaters, wind-jackets and similar articles, other than those of heading 6203: Overcoats, raincoats, car coats, capes, cloaks and similar articles: Of cotton: Of a weight, per garment, exceeding 1 kg</t>
  </si>
  <si>
    <t>CHAPTER 62 - ARTICLES OF APPAREL AND CLOTHING ACCESSORIES, NOT KNITTED OR CROCHETED: Men's or boys' overcoats, car coats, capes, cloaks, anoraks (including ski jackets), windcheaters, wind-jackets and similar articles, other than those of heading 6203: Overcoats, raincoats, car coats, capes, cloaks and similar articles: Of man-made fibres: Of a weight, per garment, not exceeding 1 kg</t>
  </si>
  <si>
    <t>Overcoats, raincoats, car-coats, capes, cloaks and similar articles :"Of man-made fibres</t>
  </si>
  <si>
    <t>CHAPTER 62 - ARTICLES OF APPAREL AND CLOTHING ACCESSORIES, NOT KNITTED OR CROCHETED: Men's or boys' overcoats, car coats, capes, cloaks, anoraks (including ski jackets), windcheaters, wind-jackets and similar articles, other than those of heading 6203: Overcoats, raincoats, car coats, capes, cloaks and similar articles: Of man-made fibres: Of a weight, per garment, exceeding 1 kg</t>
  </si>
  <si>
    <t>CHAPTER 62 - ARTICLES OF APPAREL AND CLOTHING ACCESSORIES, NOT KNITTED OR CROCHETED: Men's or boys' overcoats, car coats, capes, cloaks, anoraks (including ski jackets), windcheaters, wind-jackets and similar articles, other than those of heading 6203: Overcoats, raincoats, car coats, capes, cloaks and similar articles: Of other textile materials</t>
  </si>
  <si>
    <t>Overcoats, raincoats, car-coats, capes, cloaks and similar articles :"Of other textile materials</t>
  </si>
  <si>
    <t>CHAPTER 62 - ARTICLES OF APPAREL AND CLOTHING ACCESSORIES, NOT KNITTED OR CROCHETED: Men's or boys' overcoats, car-coats, capes, cloaks, anoraks (including ski-jackets), wind-cheaters, wind-jackets and similar articles, other than those of heading 6203: Of wool or fine animal hair</t>
  </si>
  <si>
    <t>Of wool or fine animal hair</t>
  </si>
  <si>
    <t>CHAPTER 62 - ARTICLES OF APPAREL AND CLOTHING ACCESSORIES, NOT KNITTED OR CROCHETED: Men's or boys' overcoats, car-coats, capes, cloaks, anoraks (including ski-jackets), wind-cheaters, wind-jackets and similar articles, other than those of heading 6203: Of cotton: Of a weight, per garment, not exceeding 1 kg</t>
  </si>
  <si>
    <t>Of a weight, per garment, not exceeding 1 kg</t>
  </si>
  <si>
    <t>CHAPTER 62 - ARTICLES OF APPAREL AND CLOTHING ACCESSORIES, NOT KNITTED OR CROCHETED: Men's or boys' overcoats, car-coats, capes, cloaks, anoraks (including ski-jackets), wind-cheaters, wind-jackets and similar articles, other than those of heading 6203: Of cotton: Of a weight, per garment, exceeding 1 kg</t>
  </si>
  <si>
    <t>Of a weight, per garment, exceeding 1 kg</t>
  </si>
  <si>
    <t>CHAPTER 62 - ARTICLES OF APPAREL AND CLOTHING ACCESSORIES, NOT KNITTED OR CROCHETED: Men's or boys' overcoats, car-coats, capes, cloaks, anoraks (including ski-jackets), wind-cheaters, wind-jackets and similar articles, other than those of heading 6203: Of man-made fibres: Of a weight, per garment, not exceeding 1 kg</t>
  </si>
  <si>
    <t>CHAPTER 62 - ARTICLES OF APPAREL AND CLOTHING ACCESSORIES, NOT KNITTED OR CROCHETED: Men's or boys' overcoats, car-coats, capes, cloaks, anoraks (including ski-jackets), wind-cheaters, wind-jackets and similar articles, other than those of heading 6203: Of man-made fibres: Of a weight, per garment, exceeding 1 kg</t>
  </si>
  <si>
    <t>CHAPTER 62 - ARTICLES OF APPAREL AND CLOTHING ACCESSORIES, NOT KNITTED OR CROCHETED: Men's or boys' overcoats, car-coats, capes, cloaks, anoraks (including ski-jackets), wind-cheaters, wind-jackets and similar articles, other than those of heading 6203: Of other textile materials</t>
  </si>
  <si>
    <t>Of other textile materials</t>
  </si>
  <si>
    <t>CHAPTER 62 - ARTICLES OF APPAREL AND CLOTHING ACCESSORIES, NOT KNITTED OR CROCHETED: Men's or boys' overcoats, car coats, capes, cloaks, anoraks (including ski jackets), windcheaters, wind-jackets and similar articles, other than those of heading 6203: Other: Of wool or fine animal hair</t>
  </si>
  <si>
    <t>Other :"Of wool or fine animal hair</t>
  </si>
  <si>
    <t>CHAPTER 62 - ARTICLES OF APPAREL AND CLOTHING ACCESSORIES, NOT KNITTED OR CROCHETED: Men's or boys' overcoats, car coats, capes, cloaks, anoraks (including ski jackets), windcheaters, wind-jackets and similar articles, other than those of heading 6203: Other: Of cotton</t>
  </si>
  <si>
    <t>Other :"Of cotton</t>
  </si>
  <si>
    <t>CHAPTER 62 - ARTICLES OF APPAREL AND CLOTHING ACCESSORIES, NOT KNITTED OR CROCHETED: Men's or boys' overcoats, car coats, capes, cloaks, anoraks (including ski jackets), windcheaters, wind-jackets and similar articles, other than those of heading 6203: Other: Of man-made fibres</t>
  </si>
  <si>
    <t>Other :"Of man-made fibres</t>
  </si>
  <si>
    <t>CHAPTER 62 - ARTICLES OF APPAREL AND CLOTHING ACCESSORIES, NOT KNITTED OR CROCHETED: Men's or boys' overcoats, car coats, capes, cloaks, anoraks (including ski jackets), windcheaters, wind-jackets and similar articles, other than those of heading 6203: Other: Of other textile materials</t>
  </si>
  <si>
    <t>Other :"Of other textile materials</t>
  </si>
  <si>
    <t>CHAPTER 62 - ARTICLES OF APPAREL AND CLOTHING ACCESSORIES, NOT KNITTED OR CROCHETED: Women's or girls' overcoats, car coats, capes, cloaks, anoraks (including ski jackets), windcheaters, wind-jackets and similar articles, other than those of heading 6204: Overcoats, raincoats, car coats, capes, cloaks and similar articles: Of wool or fine animal hair</t>
  </si>
  <si>
    <t>Women's or girls' overcoats, car-coats, capes, cloaks, anoraks (including ski-jackets), wind-cheaters, wind-jackets and similar articles, other than those of heading 6204</t>
  </si>
  <si>
    <t>CHAPTER 62 - ARTICLES OF APPAREL AND CLOTHING ACCESSORIES, NOT KNITTED OR CROCHETED: Women's or girls' overcoats, car coats, capes, cloaks, anoraks (including ski jackets), windcheaters, wind-jackets and similar articles, other than those of heading 6204: Overcoats, raincoats, car coats, capes, cloaks and similar articles: Of cotton: Of a weight, per garment, not exceeding 1 kg</t>
  </si>
  <si>
    <t>CHAPTER 62 - ARTICLES OF APPAREL AND CLOTHING ACCESSORIES, NOT KNITTED OR CROCHETED: Women's or girls' overcoats, car coats, capes, cloaks, anoraks (including ski jackets), windcheaters, wind-jackets and similar articles, other than those of heading 6204: Overcoats, raincoats, car coats, capes, cloaks and similar articles: Of cotton: Of a weight, per garment, exceeding 1 kg</t>
  </si>
  <si>
    <t>CHAPTER 62 - ARTICLES OF APPAREL AND CLOTHING ACCESSORIES, NOT KNITTED OR CROCHETED: Women's or girls' overcoats, car coats, capes, cloaks, anoraks (including ski jackets), windcheaters, wind-jackets and similar articles, other than those of heading 6204: Overcoats, raincoats, car coats, capes, cloaks and similar articles: Of man-made fibres: Of a weight, per garment, not exceeding 1 kg</t>
  </si>
  <si>
    <t>CHAPTER 62 - ARTICLES OF APPAREL AND CLOTHING ACCESSORIES, NOT KNITTED OR CROCHETED: Women's or girls' overcoats, car coats, capes, cloaks, anoraks (including ski jackets), windcheaters, wind-jackets and similar articles, other than those of heading 6204: Overcoats, raincoats, car coats, capes, cloaks and similar articles: Of man-made fibres: Of a weight, per garment, exceeding 1 kg</t>
  </si>
  <si>
    <t>CHAPTER 62 - ARTICLES OF APPAREL AND CLOTHING ACCESSORIES, NOT KNITTED OR CROCHETED: Women's or girls' overcoats, car coats, capes, cloaks, anoraks (including ski jackets), windcheaters, wind-jackets and similar articles, other than those of heading 6204: Overcoats, raincoats, car coats, capes, cloaks and similar articles: Of other textile materials</t>
  </si>
  <si>
    <t>CHAPTER 62 - ARTICLES OF APPAREL AND CLOTHING ACCESSORIES, NOT KNITTED OR CROCHETED: Women's or girls' overcoats, car-coats, capes, cloaks, anoraks (including ski-jackets), wind-cheaters, wind-jackets and similar articles, other than those of heading 6204: Of wool or fine animal hair</t>
  </si>
  <si>
    <t>CHAPTER 62 - ARTICLES OF APPAREL AND CLOTHING ACCESSORIES, NOT KNITTED OR CROCHETED: Women's or girls' overcoats, car-coats, capes, cloaks, anoraks (including ski-jackets), wind-cheaters, wind-jackets and similar articles, other than those of heading 6204: Of cotton: Of a weight, per garment, not exceeding 1 kg</t>
  </si>
  <si>
    <t>CHAPTER 62 - ARTICLES OF APPAREL AND CLOTHING ACCESSORIES, NOT KNITTED OR CROCHETED: Women's or girls' overcoats, car-coats, capes, cloaks, anoraks (including ski-jackets), wind-cheaters, wind-jackets and similar articles, other than those of heading 6204: Of cotton: Of a weight, per garment, exceeding 1 kg</t>
  </si>
  <si>
    <t>CHAPTER 62 - ARTICLES OF APPAREL AND CLOTHING ACCESSORIES, NOT KNITTED OR CROCHETED: Women's or girls' overcoats, car-coats, capes, cloaks, anoraks (including ski-jackets), wind-cheaters, wind-jackets and similar articles, other than those of heading 6204: Of man-made fibres: Of a weight, per garment, not exceeding 1 kg</t>
  </si>
  <si>
    <t>CHAPTER 62 - ARTICLES OF APPAREL AND CLOTHING ACCESSORIES, NOT KNITTED OR CROCHETED: Women's or girls' overcoats, car-coats, capes, cloaks, anoraks (including ski-jackets), wind-cheaters, wind-jackets and similar articles, other than those of heading 6204: Of man-made fibres: Of a weight, per garment, exceeding 1 kg</t>
  </si>
  <si>
    <t>CHAPTER 62 - ARTICLES OF APPAREL AND CLOTHING ACCESSORIES, NOT KNITTED OR CROCHETED: Women's or girls' overcoats, car-coats, capes, cloaks, anoraks (including ski-jackets), wind-cheaters, wind-jackets and similar articles, other than those of heading 6204: Of other textile materials</t>
  </si>
  <si>
    <t>CHAPTER 62 - ARTICLES OF APPAREL AND CLOTHING ACCESSORIES, NOT KNITTED OR CROCHETED: Women's or girls' overcoats, car coats, capes, cloaks, anoraks (including ski jackets), windcheaters, wind-jackets and similar articles, other than those of heading 6204: Other: Of wool or fine animal hair</t>
  </si>
  <si>
    <t>CHAPTER 62 - ARTICLES OF APPAREL AND CLOTHING ACCESSORIES, NOT KNITTED OR CROCHETED: Women's or girls' overcoats, car coats, capes, cloaks, anoraks (including ski jackets), windcheaters, wind-jackets and similar articles, other than those of heading 6204: Other: Of cotton</t>
  </si>
  <si>
    <t>CHAPTER 62 - ARTICLES OF APPAREL AND CLOTHING ACCESSORIES, NOT KNITTED OR CROCHETED: Women's or girls' overcoats, car coats, capes, cloaks, anoraks (including ski jackets), windcheaters, wind-jackets and similar articles, other than those of heading 6204: Other: Of man-made fibres</t>
  </si>
  <si>
    <t>CHAPTER 62 - ARTICLES OF APPAREL AND CLOTHING ACCESSORIES, NOT KNITTED OR CROCHETED: Women's or girls' overcoats, car coats, capes, cloaks, anoraks (including ski jackets), windcheaters, wind-jackets and similar articles, other than those of heading 6204: Other: Of other textile materials</t>
  </si>
  <si>
    <t>CHAPTER 68 - ARTICLES OF STONE, PLASTER, CEMENT, ASBESTOS, MICA OR SIMILAR MATERIALS: Fabricated asbestos fibres; mixtures with a basis of asbestos or with a basis of asbestos and magnesium carbonate; articles of such mixtures or of asbestos (for example, thread, woven fabric, clothing, headgear, footwear, gaskets), whether or not reinforced, other than goods of heading 6811 or 6813: Other: Paper, millboard and felt</t>
  </si>
  <si>
    <t>CHAPTER 68 - ARTICLES OF STONE, PLASTER, CEMENT, ASBESTOS, MICA OR SIMILAR MATERIALS</t>
  </si>
  <si>
    <t>Fabricated asbestos fibres; mixtures with a basis of asbestos or with a basis of asbestos and magnesium carbonate; articles of such mixtures or of asbestos (for example, thread, woven fabric, clothing, headgear, footwear, gaskets), whether or not reinforced, other than goods of heading 6811 or 6813</t>
  </si>
  <si>
    <t>Other :"Paper, millboard and felt</t>
  </si>
  <si>
    <t>CHAPTER 68 - ARTICLES OF STONE, PLASTER, CEMENT, ASBESTOS, MICA OR SIMILAR MATERIALS: Fabricated asbestos fibres; mixtures with a basis of asbestos or with a basis of asbestos and magnesium carbonate; articles of such mixtures or of asbestos (for example, thread, woven fabric, clothing, headgear, footwear, gaskets), whether or not reinforced, other than goods of heading 6811 or 6813: Other: Compressed asbestos fibre jointing, in sheets or rolls</t>
  </si>
  <si>
    <t>Other :"Compressed asbestos fibre jointing, in sheets or rolls</t>
  </si>
  <si>
    <t>CHAPTER 68 - ARTICLES OF STONE, PLASTER, CEMENT, ASBESTOS, MICA OR SIMILAR MATERIALS: Articles of stone or of other mineral substances (including carbon fibres, articles of carbon fibres and articles of peat), not elsewhere specified or included: Non-electrical articles of graphite or other carbon: Carbon fibres and articles of carbon fibres</t>
  </si>
  <si>
    <t>Articles of stone or of other mineral substances (including carbon fibres, articles of carbon fibres and articles of peat), not elsewhere specified or included</t>
  </si>
  <si>
    <t>Non-electrical articles of graphite or other carbon</t>
  </si>
  <si>
    <t>CHAPTER 68 - ARTICLES OF STONE, PLASTER, CEMENT, ASBESTOS, MICA OR SIMILAR MATERIALS: Articles of stone or of other mineral substances (including carbon fibres, articles of carbon fibres and articles of peat), not elsewhere specified or included: Non-electrical articles of graphite or other carbon: Other</t>
  </si>
  <si>
    <t>CHAPTER 68 - ARTICLES OF STONE, PLASTER, CEMENT, ASBESTOS, MICA OR SIMILAR MATERIALS: Articles of stone or of other mineral substances (including carbon fibres, articles of carbon fibres and articles of peat), not elsewhere specified or included: Carbon fibres; articles of carbon fibres for non-electrical uses; other articles of graphite or other carbon for non-electrical uses: Carbon fibres</t>
  </si>
  <si>
    <t>Carbon fibres; articles of carbon fibres for non-electrical uses; other articles of graphite or other carbon for non-electrical uses: Carbon fibres</t>
  </si>
  <si>
    <t>CHAPTER 68 - ARTICLES OF STONE, PLASTER, CEMENT, ASBESTOS, MICA OR SIMILAR MATERIALS: Articles of stone or of other mineral substances (including carbon fibres, articles of carbon fibres and articles of peat), not elsewhere specified or included: Carbon fibres; articles of carbon fibres for non-electrical uses; other articles of graphite or other carbon for non-electrical uses: Fabrics of carbon fibres</t>
  </si>
  <si>
    <t>Carbon fibres; articles of carbon fibres for non-electrical uses; other articles of graphite or other carbon for non-electrical uses: Fabrics of carbon fibres</t>
  </si>
  <si>
    <t>CHAPTER 68 - ARTICLES OF STONE, PLASTER, CEMENT, ASBESTOS, MICA OR SIMILAR MATERIALS: Articles of stone or of other mineral substances (including carbon fibres, articles of carbon fibres and articles of peat), not elsewhere specified or included: Carbon fibres; articles of carbon fibres for non-electrical uses; other articles of graphite or other carbon for non-electrical uses: Other articles of carbon fibres</t>
  </si>
  <si>
    <t>Carbon fibres; articles of carbon fibres for non-electrical uses; other articles of graphite or other carbon for non-electrical uses: Other articles of carbon fibres</t>
  </si>
  <si>
    <t>CHAPTER 68 - ARTICLES OF STONE, PLASTER, CEMENT, ASBESTOS, MICA OR SIMILAR MATERIALS: Articles of stone or of other mineral substances (including carbon fibres, articles of carbon fibres and articles of peat), not elsewhere specified or included: Carbon fibres; articles of carbon fibres for non-electrical uses; other articles of graphite or other carbon for non-electrical uses: Other</t>
  </si>
  <si>
    <t>Carbon fibres; articles of carbon fibres for non-electrical uses; other articles of graphite or other carbon for non-electrical uses: Other</t>
  </si>
  <si>
    <t>CHAPTER 70 - GLASS AND GLASSWARE: Glass fibres (including glass wool) and articles thereof (for example, yarn, rovings, woven fabrics): Slivers, rovings, yarn and chopped strands and mats thereof: Other yarn, slivers</t>
  </si>
  <si>
    <t>Slivers, rovings, yarn and chopped strands and mats thereof: Other yarn, slivers</t>
  </si>
  <si>
    <t>CHAPTER 70 - GLASS AND GLASSWARE</t>
  </si>
  <si>
    <t>Glass fibres (including glass wool) and articles thereof (for example, yarn, rovings, woven fabrics)</t>
  </si>
  <si>
    <t>Slivers, rovings, yarn and chopped strands :</t>
  </si>
  <si>
    <t>CHAPTER 70 - GLASS AND GLASSWARE: Glass fibres (including glass wool) and articles thereof (for example, yarn, rovings, woven fabrics): Slivers, rovings, yarn and chopped strands and mats thereof: Mechanically bonded mats</t>
  </si>
  <si>
    <t>Slivers, rovings, yarn and chopped strands and mats thereof: Mechanically bonded mats</t>
  </si>
  <si>
    <t>CHAPTER 70 - GLASS AND GLASSWARE: Glass fibres (including glass wool) and articles thereof (for example, yarn, rovings, woven fabrics): Slivers, rovings, yarn and chopped strands and mats thereof: Chemically bonded mats</t>
  </si>
  <si>
    <t>Slivers, rovings, yarn and chopped strands and mats thereof: Chemically bonded mats</t>
  </si>
  <si>
    <t>CHAPTER 70 - GLASS AND GLASSWARE: Glass fibres (including glass wool) and articles thereof (for example, yarn, rovings, woven fabrics): Slivers, rovings, yarn and chopped strands and mats thereof: Other</t>
  </si>
  <si>
    <t>Slivers, rovings, yarn and chopped strands and mats thereof: Other</t>
  </si>
  <si>
    <t>Slivers, rovings, yarn and chopped strands :"Other</t>
  </si>
  <si>
    <t>CHAPTER 70 - GLASS AND GLASSWARE: Glass fibres (including glass wool) and articles thereof (for example, yarn, woven fabrics): Slivers, rovings, yarn and chopped strands: Other: Of filaments</t>
  </si>
  <si>
    <t>CHAPTER 70 - GLASS AND GLASSWARE: Glass fibres (including glass wool) and articles thereof (for example, yarn, woven fabrics): Slivers, rovings, yarn and chopped strands: Other: Of staple fibres</t>
  </si>
  <si>
    <t>CHAPTER 70 - GLASS AND GLASSWARE: Glass fibres (including glass wool) and articles thereof (for example, yarn, woven fabrics): Thin sheets (voiles), webs, mats, mattresses, boards and similar non-woven products: Mats</t>
  </si>
  <si>
    <t>Thin sheets (voiles), webs, mats, mattresses, boards and similar nonwoven products :"Mats</t>
  </si>
  <si>
    <t>CHAPTER 70 - GLASS AND GLASSWARE: Glass fibres (including glass wool) and articles thereof (for example, yarn, woven fabrics): Thin sheets (voiles), webs, mats, mattresses, boards and similar non-woven products: Thin sheets (voiles)</t>
  </si>
  <si>
    <t>Thin sheets (voiles), webs, mats, mattresses, boards and similar nonwoven products :"Thin sheets (voiles)</t>
  </si>
  <si>
    <t>CHAPTER 70 - GLASS AND GLASSWARE: Glass fibres (including glass wool) and articles thereof (for example, yarn, woven fabrics): Thin sheets (voiles), webs, mats, mattresses, boards and similar non-woven products: Other</t>
  </si>
  <si>
    <t>Thin sheets (voiles), webs, mats, mattresses, boards and similar nonwoven products :"Other</t>
  </si>
  <si>
    <t>CHAPTER 70 - GLASS AND GLASSWARE: Glass fibres (including glass wool) and articles thereof (for example, yarn, woven fabrics): Woven fabrics of rovings</t>
  </si>
  <si>
    <t>Woven fabrics of rovings</t>
  </si>
  <si>
    <t>CHAPTER 70 - GLASS AND GLASSWARE: Glass fibres (including glass wool) and articles thereof (for example, yarn, woven fabrics): Other woven fabrics: Of a width not exceeding 30 cm</t>
  </si>
  <si>
    <t>Other woven fabrics :"Of a width not exceeding 30 cm</t>
  </si>
  <si>
    <t>CHAPTER 70 - GLASS AND GLASSWARE: Glass fibres (including glass wool) and articles thereof (for example, yarn, woven fabrics): Other woven fabrics: Of a width exceeding 30 cm, plain weave, weighing less than 250 g/m², of filaments measuring per single yarn not more than 136 tex</t>
  </si>
  <si>
    <t>Other woven fabrics :"Of a width exceeding 30 cm, plain weave, weighing less than 250 g/m², of filaments measuring per single yarn not more than 136 tex</t>
  </si>
  <si>
    <t>CHAPTER 70 - GLASS AND GLASSWARE: Glass fibres (including glass wool) and articles thereof (for example, yarn, woven fabrics): Other woven fabrics: Other</t>
  </si>
  <si>
    <t>Other woven fabrics :"Other</t>
  </si>
  <si>
    <t>CHAPTER 70 - GLASS AND GLASSWARE: Glass fibres (including glass wool) and articles thereof (for example, yarn, rovings, woven fabrics): Mechanically bonded fabrics: Closed woven fabrics of rovings</t>
  </si>
  <si>
    <t>Mechanically bonded fabrics: Closed woven fabrics of rovings</t>
  </si>
  <si>
    <t>CHAPTER 70 - GLASS AND GLASSWARE: Glass fibres (including glass wool) and articles thereof (for example, yarn, rovings, woven fabrics): Mechanically bonded fabrics: Other closed fabrics of rovings</t>
  </si>
  <si>
    <t>Mechanically bonded fabrics: Other closed fabrics of rovings</t>
  </si>
  <si>
    <t>CHAPTER 70 - GLASS AND GLASSWARE: Glass fibres (including glass wool) and articles thereof (for example, yarn, rovings, woven fabrics): Mechanically bonded fabrics: Closed woven fabrics, plain weave, of yarns, not coated or laminated</t>
  </si>
  <si>
    <t>Mechanically bonded fabrics: Closed woven fabrics, plain weave, of yarns, not coated or laminated</t>
  </si>
  <si>
    <t>CHAPTER 70 - GLASS AND GLASSWARE: Glass fibres (including glass wool) and articles thereof (for example, yarn, rovings, woven fabrics): Mechanically bonded fabrics: Closed woven fabrics, plain weave, of yarns, coated or laminated</t>
  </si>
  <si>
    <t>Mechanically bonded fabrics: Closed woven fabrics, plain weave, of yarns, coated or laminated</t>
  </si>
  <si>
    <t>CHAPTER 70 - GLASS AND GLASSWARE: Glass fibres (including glass wool) and articles thereof (for example, yarn, rovings, woven fabrics): Mechanically bonded fabrics: Open woven fabrics of a width not exceeding 30 cm</t>
  </si>
  <si>
    <t>Mechanically bonded fabrics: Open woven fabrics of a width not exceeding 30 cm</t>
  </si>
  <si>
    <t>CHAPTER 70 - GLASS AND GLASSWARE: Glass fibres (including glass wool) and articles thereof (for example, yarn, rovings, woven fabrics): Mechanically bonded fabrics: Open woven fabrics of a width exceeding 30 cm</t>
  </si>
  <si>
    <t>Mechanically bonded fabrics: Open woven fabrics of a width exceeding 30 cm</t>
  </si>
  <si>
    <t>CHAPTER 70 - GLASS AND GLASSWARE: Glass fibres (including glass wool) and articles thereof (for example, yarn, rovings, woven fabrics): Mechanically bonded fabrics: Other: Stitched fabrics and needled fabrics</t>
  </si>
  <si>
    <t>Stitched fabrics and needled fabrics</t>
  </si>
  <si>
    <t>CHAPTER 70 - GLASS AND GLASSWARE: Glass fibres (including glass wool) and articles thereof (for example, yarn, rovings, woven fabrics): Mechanically bonded fabrics: Other: Other</t>
  </si>
  <si>
    <t>CHAPTER 70 - GLASS AND GLASSWARE: Glass fibres (including glass wool) and articles thereof (for example, yarn, rovings, woven fabrics): Chemically bonded fabrics: Veils (thin sheets)</t>
  </si>
  <si>
    <t>Chemically bonded fabrics: Veils (thin sheets)</t>
  </si>
  <si>
    <t>CHAPTER 70 - GLASS AND GLASSWARE: Glass fibres (including glass wool) and articles thereof (for example, yarn, rovings, woven fabrics): Chemically bonded fabrics: Other closed fabrics</t>
  </si>
  <si>
    <t>Chemically bonded fabrics: Other closed fabrics</t>
  </si>
  <si>
    <t>CHAPTER 70 - GLASS AND GLASSWARE: Glass fibres (including glass wool) and articles thereof (for example, yarn, rovings, woven fabrics): Chemically bonded fabrics: Other open fabrics</t>
  </si>
  <si>
    <t>Chemically bonded fabrics: Other open fabrics</t>
  </si>
  <si>
    <t>CHAPTER 70 - GLASS AND GLASSWARE: Glass fibres (including glass wool) and articles thereof (for example, yarn, rovings, woven fabrics): Glass wool and articles of glass wool: Boards, mattresses and similar products</t>
  </si>
  <si>
    <t>Boards, mattresses and similar products</t>
  </si>
  <si>
    <t>CHAPTER 70 - GLASS AND GLASSWARE: Glass fibres (including glass wool) and articles thereof (for example, yarn, rovings, woven fabrics): Glass wool and articles of glass wool: Other</t>
  </si>
  <si>
    <t>CHAPTER 71 - NATURAL OR CULTURED PEARLS, PRECIOUS OR SEMI-PRECIOUS STONES, PRECIOUS METALS, METALS CLAD WITH PRECIOUS METAL, AND ARTICLES THEREOF; IMITATION JEWELLERY; COIN: Synthetic or reconstructed precious or semi-precious stones, whether or not worked or graded but not strung, mounted or set; ungraded synthetic or reconstructed precious or semi-precious stones, temporarily strung for convenience of transport: Other, unworked or simply sawn or roughly shaped: Diamonds</t>
  </si>
  <si>
    <t>CHAPTER 71 - NATURAL OR CULTURED PEARLS, PRECIOUS OR SEMI-PRECIOUS STONES, PRECIOUS METALS, METALS CLAD WITH PRECIOUS METAL, AND ARTICLES THEREOF; IMITATION JEWELLERY; COIN</t>
  </si>
  <si>
    <t>Synthetic or reconstructed precious or semi-precious stones, whether or not worked or graded but not strung, mounted or set; ungraded synthetic or reconstructed precious or semi-precious stones, temporarily strung for convenience of transport</t>
  </si>
  <si>
    <t>Other, unworked or simply sawn or roughly shaped</t>
  </si>
  <si>
    <t>CHAPTER 71 - NATURAL OR CULTURED PEARLS, PRECIOUS OR SEMI-PRECIOUS STONES, PRECIOUS METALS, METALS CLAD WITH PRECIOUS METAL, AND ARTICLES THEREOF; IMITATION JEWELLERY; COIN: Synthetic or reconstructed precious or semi-precious stones, whether or not worked or graded but not strung, mounted or set; ungraded synthetic or reconstructed precious or semi-precious stones, temporarily strung for convenience of transport: Other, unworked or simply sawn or roughly shaped: Other</t>
  </si>
  <si>
    <t>Other, unworked or simply sawn or roughly shaped: Diamonds</t>
  </si>
  <si>
    <t>Other, unworked or simply sawn or roughly shaped: Other</t>
  </si>
  <si>
    <t>CHAPTER 71 - NATURAL OR CULTURED PEARLS, PRECIOUS OR SEMI-PRECIOUS STONES, PRECIOUS METALS, METALS CLAD WITH PRECIOUS METAL, AND ARTICLES THEREOF; IMITATION JEWELLERY; COIN: Synthetic or reconstructed precious or semi-precious stones, whether or not worked or graded but not strung, mounted or set; ungraded synthetic or reconstructed precious or semi-precious stones, temporarily strung for convenience of transport: Other: Diamonds</t>
  </si>
  <si>
    <t>CHAPTER 71 - NATURAL OR CULTURED PEARLS, PRECIOUS OR SEMI-PRECIOUS STONES, PRECIOUS METALS, METALS CLAD WITH PRECIOUS METAL, AND ARTICLES THEREOF; IMITATION JEWELLERY; COIN: Synthetic or reconstructed precious or semi-precious stones, whether or not worked or graded but not strung, mounted or set; ungraded synthetic or reconstructed precious or semi-precious stones, temporarily strung for convenience of transport: Other: Other</t>
  </si>
  <si>
    <t>Other: Diamonds</t>
  </si>
  <si>
    <t>CHAPTER 73 - ARTICLES OF IRON OR STEEL: Tubes, pipes and hollow profiles, seamless, of iron (other than cast iron) or steel: Other, of circular cross-section, of iron or non-alloy steel: Other: Unworked, straight and of uniform wall thickness, for use solely in the manufacture of tubes and pipes with other cross-sections and wall thicknesses</t>
  </si>
  <si>
    <t>CHAPTER 73 - ARTICLES OF IRON OR STEEL</t>
  </si>
  <si>
    <t>Tubes, pipes and hollow profiles, seamless, of iron (other than cast iron) or steel</t>
  </si>
  <si>
    <t>Other, of circular cross-section, of iron or non-alloy steel :"Other</t>
  </si>
  <si>
    <t>CHAPTER 73 - ARTICLES OF IRON OR STEEL: Tubes, pipes and hollow profiles, seamless, of iron (other than cast iron) or steel: Other, of circular cross-section, of iron or non-alloy steel: Other: Threaded or threadable tubes (gas pipe)</t>
  </si>
  <si>
    <t>Threaded or threadable tubes (gas pipe)</t>
  </si>
  <si>
    <t>CHAPTER 73 - ARTICLES OF IRON OR STEEL: Tubes, pipes and hollow profiles, seamless, of iron (other than cast iron) or steel: Other, of circular cross-section, of iron or non-alloy steel: Other: Other: Threaded or threadable tubes (gas pipe): Plated or coated with zinc</t>
  </si>
  <si>
    <t>CHAPTER 73 - ARTICLES OF IRON OR STEEL: Tubes, pipes and hollow profiles, seamless, of iron (other than cast iron) or steel: Other, of circular cross-section, of iron or non-alloy steel: Other: Other: Threaded or threadable tubes (gas pipe): Other</t>
  </si>
  <si>
    <t>CHAPTER 73 - ARTICLES OF IRON OR STEEL: Tubes, pipes and hollow profiles, seamless, of iron (other than cast iron) or steel: Other, of circular cross-section, of iron or non-alloy steel: Other: Other, of an external diameter: Not exceeding 168,3 mm</t>
  </si>
  <si>
    <t>Other, of an external diameter: Not exceeding 168,3 mm</t>
  </si>
  <si>
    <t>CHAPTER 73 - ARTICLES OF IRON OR STEEL: Tubes, pipes and hollow profiles, seamless, of iron (other than cast iron) or steel: Other, of circular cross-section, of iron or non-alloy steel: Other: Other, of an external diameter: Exceeding 168,3 mm but not exceeding 406,4 mm</t>
  </si>
  <si>
    <t>Other, of an external diameter: Exceeding 168,3 mm but not exceeding 406,4 mm</t>
  </si>
  <si>
    <t>CHAPTER 73 - ARTICLES OF IRON OR STEEL: Tubes, pipes and hollow profiles, seamless, of iron (other than cast iron) or steel: Other, of circular cross-section, of iron or non-alloy steel: Other: Other, of an external diameter: Exceeding 406,4 mm</t>
  </si>
  <si>
    <t>Other, of an external diameter: Exceeding 406,4 mm</t>
  </si>
  <si>
    <t>CHAPTER 73 - ARTICLES OF IRON OR STEEL: Tubes, pipes and hollow profiles, seamless, of iron (other than cast iron) or steel: Other, of circular cross-section, of iron or non-alloy steel: Other: Other: Other, of an external diameter: Not exceeding 168,3 mm</t>
  </si>
  <si>
    <t>CHAPTER 73 - ARTICLES OF IRON OR STEEL: Tubes, pipes and hollow profiles, seamless, of iron (other than cast iron) or steel: Other, of circular cross-section, of iron or non-alloy steel: Other: Other: Other, of an external diameter: Exceeding 168,3 mm but not exceeding 406,4 mm</t>
  </si>
  <si>
    <t>CHAPTER 73 - ARTICLES OF IRON OR STEEL: Tubes, pipes and hollow profiles, seamless, of iron (other than cast iron) or steel: Other, of circular cross-section, of iron or non-alloy steel: Other: Other: Other, of an external diameter: Exceeding 406,4 mm</t>
  </si>
  <si>
    <t>CHAPTER 73 - ARTICLES OF IRON OR STEEL: Tubes, pipes and hollow profiles, seamless, of iron (other than cast iron) or steel: Other, of circular cross-section, of stainless steel: Other: Unworked, straight and of uniform wall thickness, for use solely in the manufacture of tubes and pipes with other cross-sections and wall thicknesses</t>
  </si>
  <si>
    <t>Other, of circular cross-section, of stainless steel:"Other</t>
  </si>
  <si>
    <t>CHAPTER 73 - ARTICLES OF IRON OR STEEL: Tubes, pipes and hollow profiles, seamless, of iron (other than cast iron) or steel: Other, of circular cross-section, of stainless steel: Other: Of an external diameter not exceeding 168,3 mm</t>
  </si>
  <si>
    <t>Of an external diameter not exceeding 168,3 mm</t>
  </si>
  <si>
    <t>CHAPTER 73 - ARTICLES OF IRON OR STEEL: Tubes, pipes and hollow profiles, seamless, of iron (other than cast iron) or steel: Other, of circular cross-section, of stainless steel: Other: Of an external diameter exceeding 168,3 mm but not exceeding 406,4 mm</t>
  </si>
  <si>
    <t>Of an external diameter exceeding 168,3 mm but not exceeding 406,4 mm</t>
  </si>
  <si>
    <t>CHAPTER 73 - ARTICLES OF IRON OR STEEL: Tubes, pipes and hollow profiles, seamless, of iron (other than cast iron) or steel: Other, of circular cross-section, of stainless steel: Other: Of an external diameter exceeding 406,4 mm</t>
  </si>
  <si>
    <t>Of an external diameter exceeding 406,4 mm</t>
  </si>
  <si>
    <t>CHAPTER 73 - ARTICLES OF IRON OR STEEL: Tubes, pipes and hollow profiles, seamless, of iron (other than cast iron) or steel: Other, of circular cross-section, of stainless steel: Other: Other: Of an external diameter not exceeding 168,3 mm</t>
  </si>
  <si>
    <t>CHAPTER 73 - ARTICLES OF IRON OR STEEL: Tubes, pipes and hollow profiles, seamless, of iron (other than cast iron) or steel: Other, of circular cross-section, of stainless steel: Other: Other: Of an external diameter exceeding 168,3 mm but not exceeding 406,4 mm</t>
  </si>
  <si>
    <t>CHAPTER 73 - ARTICLES OF IRON OR STEEL: Tubes, pipes and hollow profiles, seamless, of iron (other than cast iron) or steel: Other, of circular cross-section, of stainless steel: Other: Other: Of an external diameter exceeding 406,4 mm</t>
  </si>
  <si>
    <t>CHAPTER 73 - ARTICLES OF IRON OR STEEL: Tubes, pipes and hollow profiles, seamless, of iron (other than cast iron) or steel: Other, of circular cross-section, of other alloy steel: Cold-drawn or cold-rolled (cold-reduced): Straight and of uniform wall thickness, of alloy steel containing by weight not less than 0,9 % but not more than 1,15 % of carbon, not less than 0,5 % but not more than 2 % of chromium and, if present, not more than 0,5 % of molybdenum</t>
  </si>
  <si>
    <t>Straight and of uniform wall thickness, of alloy steel containing by weight not less than 0,9 % but not more than 1,15 % of carbon, not less than 0,5 % but not more than 2 % of chromium and, if present, not more than 0,5 % of molybdenum</t>
  </si>
  <si>
    <t>Other, of circular cross-section, of other alloy steel :"Cold-drawn or cold-rolled (cold-reduced)</t>
  </si>
  <si>
    <t>CHAPTER 73 - ARTICLES OF IRON OR STEEL: Tubes, pipes and hollow profiles, seamless, of iron (other than cast iron) or steel: Other, of circular cross-section, of other alloy steel: Cold-drawn or cold-rolled (cold-reduced): Straight and of uniform wall thickness, of alloy steel containing by weight not less than 0,9 % but not more than 1,15 % of carbon, not less than 0,5 % but not more than 2 % of chromium and, if present, not more than 0,5 % of molybdenum, of a length: Not exceeding 0,5 m</t>
  </si>
  <si>
    <t>CHAPTER 73 - ARTICLES OF IRON OR STEEL: Tubes, pipes and hollow profiles, seamless, of iron (other than cast iron) or steel: Other, of circular cross-section, of other alloy steel: Cold-drawn or cold-rolled (cold-reduced): Straight and of uniform wall thickness, of alloy steel containing by weight not less than 0,9 % but not more than 1,15 % of carbon, not less than 0,5 % but not more than 2 % of chromium and, if present, not more than 0,5 % of molybdenum, of a length: Exceeding 0,5 m</t>
  </si>
  <si>
    <t>CHAPTER 73 - ARTICLES OF IRON OR STEEL: Tubes, pipes and hollow profiles, seamless, of iron (other than cast iron) or steel: Other, of circular cross-section, of other alloy steel: Other: Unworked, straight and of uniform wall thickness, for use solely in the manufacture of tubes and pipes with other cross-sections and wall-thicknesses</t>
  </si>
  <si>
    <t>Other, of circular cross-section, of other alloy steel :"Other</t>
  </si>
  <si>
    <t>CHAPTER 73 - ARTICLES OF IRON OR STEEL: Tubes, pipes and hollow profiles, seamless, of iron (other than cast iron) or steel: Other, of circular cross-section, of other alloy steel: Other: Straight and of uniform wall thickness, of alloy steel containing by weight not less than 0,9 % but not more than 1,15 % of carbon, not less than 0,5 % but not more than 2 % of chromium and, if present, not more than 0,5 % of molybdenum</t>
  </si>
  <si>
    <t>CHAPTER 73 - ARTICLES OF IRON OR STEEL: Tubes, pipes and hollow profiles, seamless, of iron (other than cast iron) or steel: Other, of circular cross-section, of other alloy steel: Other: Other, straight and of uniform wall thickness, of alloy steel containing by weight not less than 0,9 % but not more than 1,15 % of carbon, not less than 0,5 % but not more than 2 % of chromium and, if present, not more than 0,5 % of molybdenum, of a length: Not exceeding 0,5 m</t>
  </si>
  <si>
    <t>CHAPTER 73 - ARTICLES OF IRON OR STEEL: Tubes, pipes and hollow profiles, seamless, of iron (other than cast iron) or steel: Other, of circular cross-section, of other alloy steel: Other: Other, straight and of uniform wall thickness, of alloy steel containing by weight not less than 0,9 % but not more than 1,15 % of carbon, not less than 0,5 % but not more than 2 % of chromium and, if present, not more than 0,5 % of molybdenum, of a length: Exceeding 0,5 m</t>
  </si>
  <si>
    <t>CHAPTER 73 - ARTICLES OF IRON OR STEEL: Tubes, pipes and hollow profiles, seamless, of iron (other than cast iron) or steel: Other, of circular cross-section, of other alloy steel: Other: Other: Of an external diameter not exceeding 168,3 mm</t>
  </si>
  <si>
    <t>Other: Of an external diameter not exceeding 168,3 mm</t>
  </si>
  <si>
    <t>CHAPTER 73 - ARTICLES OF IRON OR STEEL: Tubes, pipes and hollow profiles, seamless, of iron (other than cast iron) or steel: Other, of circular cross-section, of other alloy steel: Other: Other: Of an external diameter exceeding 168,3 mm but not exceeding 406,4 mm</t>
  </si>
  <si>
    <t>Other: Of an external diameter exceeding 168,3 mm but not exceeding 406,4 mm</t>
  </si>
  <si>
    <t>CHAPTER 73 - ARTICLES OF IRON OR STEEL: Tubes, pipes and hollow profiles, seamless, of iron (other than cast iron) or steel: Other, of circular cross-section, of other alloy steel: Other: Other: Of an external diameter exceeding 406,4 mm</t>
  </si>
  <si>
    <t>Other: Of an external diameter exceeding 406,4 mm</t>
  </si>
  <si>
    <t>CHAPTER 73 - ARTICLES OF IRON OR STEEL: Other tubes, pipes and hollow profiles (for example, open seam or welded, riveted or similarly closed), of iron or steel: Line pipe of a kind used for oil or gas pipelines: Welded, of stainless steel</t>
  </si>
  <si>
    <t>Line pipe of a kind used for oil or gas pipelines: Welded, of stainless steel</t>
  </si>
  <si>
    <t>Other tubes, pipes and hollow profiles (for example, open seam or welded, riveted or similarly closed), of iron or steel</t>
  </si>
  <si>
    <t>Line pipe of a kind used for oil or gas pipelines :"Welded, of stainless steel</t>
  </si>
  <si>
    <t>CHAPTER 73 - ARTICLES OF IRON OR STEEL: Other tubes, pipes and hollow profiles (for example, open seam or welded, riveted or similarly closed), of iron or steel: Line pipe of a kind used for oil or gas pipelines: Welded, of stainless steel: Longitudinally welded</t>
  </si>
  <si>
    <t>CHAPTER 73 - ARTICLES OF IRON OR STEEL: Other tubes, pipes and hollow profiles (for example, open seam or welded, riveted or similarly closed), of iron or steel: Line pipe of a kind used for oil or gas pipelines: Welded, of stainless steel: Spirally welded</t>
  </si>
  <si>
    <t>CHAPTER 73 - ARTICLES OF IRON OR STEEL: Other tubes, pipes and hollow profiles (for example, open seam or welded, riveted or similarly closed), of iron or steel: Line pipe of a kind used for oil or gas pipelines: Other</t>
  </si>
  <si>
    <t>Line pipe of a kind used for oil or gas pipelines: Other</t>
  </si>
  <si>
    <t>Line pipe of a kind used for oil or gas pipelines :"Other</t>
  </si>
  <si>
    <t>CHAPTER 73 - ARTICLES OF IRON OR STEEL: Other tubes, pipes and hollow profiles (for example, open seam or welded, riveted or similarly closed), of iron or steel: Line pipe of a kind used for oil or gas pipelines: Other: Longitudinally welded</t>
  </si>
  <si>
    <t>CHAPTER 73 - ARTICLES OF IRON OR STEEL: Other tubes, pipes and hollow profiles (for example, open seam or welded, riveted or similarly closed), of iron or steel: Line pipe of a kind used for oil or gas pipelines: Other: Spirally welded</t>
  </si>
  <si>
    <t>CHAPTER 73 - ARTICLES OF IRON OR STEEL: Other tubes, pipes and hollow profiles (for example, open seam or welded, riveted or similarly closed), of iron or steel: Other, welded, of circular cross-section, of iron or non-alloy steel: Precision tubes, with a wall thickness: Not exceeding 2 mm</t>
  </si>
  <si>
    <t>Other, welded, of circular cross-section, of iron or non-alloy steel</t>
  </si>
  <si>
    <t>CHAPTER 73 - ARTICLES OF IRON OR STEEL: Other tubes, pipes and hollow profiles (for example, open seam or welded, riveted or similarly closed), of iron or steel: Other, welded, of circular cross-section, of iron or non-alloy steel: Precision tubes: Cold-drawn or cold-rolled (cold-reduced)</t>
  </si>
  <si>
    <t>Precision tubes: Cold-drawn or cold-rolled (cold-reduced)</t>
  </si>
  <si>
    <t>CHAPTER 73 - ARTICLES OF IRON OR STEEL: Other tubes, pipes and hollow profiles (for example, open seam or welded, riveted or similarly closed), of iron or steel: Other, welded, of circular cross-section, of iron or non-alloy steel: Precision tubes: Other</t>
  </si>
  <si>
    <t>Precision tubes: Other</t>
  </si>
  <si>
    <t>CHAPTER 73 - ARTICLES OF IRON OR STEEL: Other tubes, pipes and hollow profiles (for example, open seam or welded, riveted or similarly closed), of iron or steel: Other, welded, of circular cross-section, of iron or non-alloy steel: Precision tubes, with a wall thickness: Exceeding 2 mm</t>
  </si>
  <si>
    <t>CHAPTER 73 - ARTICLES OF IRON OR STEEL: Other tubes, pipes and hollow profiles (for example, open seam or welded, riveted or similarly closed), of iron or steel: Other, welded, of circular cross-section, of other alloy steel: Precision tubes</t>
  </si>
  <si>
    <t>Other, welded, of circular cross-section, of other alloy steel</t>
  </si>
  <si>
    <t>CHAPTER 73 - ARTICLES OF IRON OR STEEL: Other tubes, pipes and hollow profiles (for example, open seam or welded, riveted or similarly closed), of iron or steel: Other, welded, of circular cross-section, of other alloy steel: Precision tubes: Cold-drawn or cold-rolled (cold-reduced)</t>
  </si>
  <si>
    <t>CHAPTER 73 - ARTICLES OF IRON OR STEEL: Other tubes, pipes and hollow profiles (for example, open seam or welded, riveted or similarly closed), of iron or steel: Other, welded, of circular cross-section, of other alloy steel: Precision tubes: Other</t>
  </si>
  <si>
    <t>CHAPTER 74 - COPPER AND ARTICLES THEREOF: Other articles of copper: Chain and parts thereof</t>
  </si>
  <si>
    <t>CHAPTER 74 - COPPER AND ARTICLES THEREOF</t>
  </si>
  <si>
    <t>Other articles of copper</t>
  </si>
  <si>
    <t>Chain and parts thereof</t>
  </si>
  <si>
    <t>CHAPTER 74 - COPPER AND ARTICLES THEREOF: Other articles of copper: Cast, moulded, stamped or forged, but not further worked</t>
  </si>
  <si>
    <t>Cast, moulded, stamped or forged, but not further worked</t>
  </si>
  <si>
    <t>CHAPTER 74 - COPPER AND ARTICLES THEREOF: Other articles of copper: Other: Cloth (including endless bands), grill and netting, of wire of which no cross-sectional dimension exceeds 6 mm; expanded metal</t>
  </si>
  <si>
    <t>Cloth (including endless bands), grill and netting, of wire of which no cross-sectional dimension exceeds 6 mm; expanded metal</t>
  </si>
  <si>
    <t>CHAPTER 74 - COPPER AND ARTICLES THEREOF: Other articles of copper: Other: Springs</t>
  </si>
  <si>
    <t>Springs</t>
  </si>
  <si>
    <t>CHAPTER 74 - COPPER AND ARTICLES THEREOF: Other articles of copper: Other: Other</t>
  </si>
  <si>
    <t>CHAPTER 74 - COPPER AND ARTICLES THEREOF: Other articles of copper: Other: Cast, moulded, stamped or forged, but not further worked</t>
  </si>
  <si>
    <t>Other :"Cast, moulded, stamped or forged, but not further worked</t>
  </si>
  <si>
    <t>CHAPTER 74 - COPPER AND ARTICLES THEREOF: Other articles of copper: Other: Other: Cloth (including endless bands), grill and netting, of wire of which no cross-sectional dimension exceeds 6 mm; expanded metal</t>
  </si>
  <si>
    <t>CHAPTER 74 - COPPER AND ARTICLES THEREOF: Other articles of copper: Other: Other: Springs</t>
  </si>
  <si>
    <t>CHAPTER 74 - COPPER AND ARTICLES THEREOF: Other articles of copper: Other: Other: Other</t>
  </si>
  <si>
    <t>CHAPTER 76 - ALUMINIUM AND ARTICLES THEREOF: Aluminium plates, sheets and strip, of a thickness exceeding 0,2 mm: Rectangular (including square): Of aluminium, not alloyed: Painted, varnished or coated with plastics</t>
  </si>
  <si>
    <t>CHAPTER 76 - ALUMINIUM AND ARTICLES THEREOF</t>
  </si>
  <si>
    <t>Aluminium plates, sheets and strip, of a thickness exceeding 0,2 mm</t>
  </si>
  <si>
    <t>Rectangular (including square) :"Of aluminium, not alloyed</t>
  </si>
  <si>
    <t>CHAPTER 76 - ALUMINIUM AND ARTICLES THEREOF: Aluminium plates, sheets and strip, of a thickness exceeding 0,2 mm: Rectangular (including square): Of aluminium, not alloyed: Aluminium Composite Panel</t>
  </si>
  <si>
    <t>Aluminium Composite Panel</t>
  </si>
  <si>
    <t>CHAPTER 76 - ALUMINIUM AND ARTICLES THEREOF: Aluminium plates, sheets and strip, of a thickness exceeding 0,2 mm: Rectangular (including square): Of aluminium, not alloyed: Other: Painted, varnished or coated with plastics</t>
  </si>
  <si>
    <t>Other: Painted, varnished or coated with plastics</t>
  </si>
  <si>
    <t>CHAPTER 76 - ALUMINIUM AND ARTICLES THEREOF: Aluminium plates, sheets and strip, of a thickness exceeding 0,2 mm: Rectangular (including square): Of aluminium alloys: Other: Painted, varnished or coated with plastics</t>
  </si>
  <si>
    <t>Rectangular (including square) :"Of aluminium alloys</t>
  </si>
  <si>
    <t>CHAPTER 76 - ALUMINIUM AND ARTICLES THEREOF: Aluminium plates, sheets and strip, of a thickness exceeding 0,2 mm: Rectangular (including square): Of aluminium alloys: Aluminium Composite Panel</t>
  </si>
  <si>
    <t>CHAPTER 76 - ALUMINIUM AND ARTICLES THEREOF: Aluminium foil (whether or not printed or backed with paper, paperboard, plastics or similar backing materials) of a thickness (excluding any backing) not exceeding 0,2 mm: Backed: Of a thickness (excluding any backing) of not less than 0,021 mm but not more than 0,2 mm</t>
  </si>
  <si>
    <t>Aluminium foil (whether or not printed or backed with paper, paperboard, plastics or similar backing materials) of a thickness (excluding any backing) not exceeding 0,2 mm</t>
  </si>
  <si>
    <t>Backed</t>
  </si>
  <si>
    <t>CHAPTER 76 - ALUMINIUM AND ARTICLES THEREOF: Aluminium foil (whether or not printed or backed with paper, paperboard, plastics or similar backing materials) of a thickness (excluding any backing) not exceeding 0,2 mm: Backed: Of a thickness (excluding any backing) of not less than 0,021 mm but not more than 0,2 mm: Aluminium Composite Panel</t>
  </si>
  <si>
    <t>Of a thickness (excluding any backing) of not less than 0,021 mm but not more than 0,2 mm: Aluminium Composite Panel</t>
  </si>
  <si>
    <t>CHAPTER 76 - ALUMINIUM AND ARTICLES THEREOF: Aluminium foil (whether or not printed or backed with paper, paperboard, plastics or similar backing materials) of a thickness (excluding any backing) not exceeding 0,2 mm: Backed: Of a thickness (excluding any backing) of not less than 0,021 mm but not more than 0,2 mm: Other</t>
  </si>
  <si>
    <t>Of a thickness (excluding any backing) of not less than 0,021 mm but not more than 0,2 mm: Other</t>
  </si>
  <si>
    <t>CHAPTER 81 - OTHER BASE METALS; CERMETS; ARTICLES THEREOF: Tantalum and articles thereof, including waste and scrap: Other: Bars and rods, other than those obtained simply by sintering, profiles, wire, plates, sheets, strip and foil</t>
  </si>
  <si>
    <t>CHAPTER 81 - OTHER BASE METALS; CERMETS; ARTICLES THEREOF</t>
  </si>
  <si>
    <t>Tantalum and articles thereof, including waste and scrap</t>
  </si>
  <si>
    <t>CHAPTER 81 - OTHER BASE METALS; CERMETS; ARTICLES THEREOF: Tantalum and articles thereof, including waste and scrap: Other: Other</t>
  </si>
  <si>
    <t>CHAPTER 81 - OTHER BASE METALS; CERMETS; ARTICLES THEREOF: Tantalum and articles thereof, including waste and scrap: Other: Crucibles</t>
  </si>
  <si>
    <t>Other: Crucibles</t>
  </si>
  <si>
    <t>CHAPTER 81 - OTHER BASE METALS; CERMETS; ARTICLES THEREOF: Tantalum and articles thereof, including waste and scrap: Other: Other: Bars and rods, other than those obtained simply by sintering, profiles, wire, plates, sheets, strip and foil</t>
  </si>
  <si>
    <t>Bars and rods, other than those obtained simply by sintering, profiles, wire, plates, sheets, strip and foil</t>
  </si>
  <si>
    <t>CHAPTER 81 - OTHER BASE METALS; CERMETS; ARTICLES THEREOF: Tantalum and articles thereof, including waste and scrap: Other: Other: Other</t>
  </si>
  <si>
    <t>CHAPTER 81 - OTHER BASE METALS; CERMETS; ARTICLES THEREOF: Bismuth and articles thereof, including waste and scrap: Unwrought bismuth; waste and scrap; powders</t>
  </si>
  <si>
    <t>Bismuth and articles thereof, including waste and scrap</t>
  </si>
  <si>
    <t>Bismuth and articles thereof, including waste and scrap.</t>
  </si>
  <si>
    <t>CHAPTER 81 - OTHER BASE METALS; CERMETS; ARTICLES THEREOF: Bismuth and articles thereof, including waste and scrap: Other</t>
  </si>
  <si>
    <t>CHAPTER 81 - OTHER BASE METALS; CERMETS; ARTICLES THEREOF: Bismuth and articles thereof, including waste and scrap: Containing more than 99,99 % of bismuth, by weight: Unwrought bismuth; waste and scrap; powders</t>
  </si>
  <si>
    <t>Unwrought bismuth; waste and scrap; powders</t>
  </si>
  <si>
    <t>CHAPTER 81 - OTHER BASE METALS; CERMETS; ARTICLES THEREOF: Bismuth and articles thereof, including waste and scrap: Containing more than 99,99 % of bismuth, by weight: Other</t>
  </si>
  <si>
    <t>CHAPTER 81 - OTHER BASE METALS; CERMETS; ARTICLES THEREOF: Bismuth and articles thereof, including waste and scrap: Other: Unwrought bismuth; waste and scrap; powders</t>
  </si>
  <si>
    <t>CHAPTER 81 - OTHER BASE METALS; CERMETS; ARTICLES THEREOF: Bismuth and articles thereof, including waste and scrap: Other: Other</t>
  </si>
  <si>
    <t>CHAPTER 81 - OTHER BASE METALS; CERMETS; ARTICLES THEREOF: Cadmium and articles thereof, including waste and scrap: Unwrought cadmium; powders</t>
  </si>
  <si>
    <t>Unwrought cadmium; powders</t>
  </si>
  <si>
    <t>CHAPTER 81 - OTHER BASE METALS; CERMETS; ARTICLES THEREOF: Cadmium and articles thereof, including waste and scrap: Waste and scrap</t>
  </si>
  <si>
    <t>Waste and scrap</t>
  </si>
  <si>
    <t>CHAPTER 81 - OTHER BASE METALS; CERMETS; ARTICLES THEREOF: Cadmium and articles thereof, including waste and scrap: Other</t>
  </si>
  <si>
    <t>CHAPTER 81 - OTHER BASE METALS; CERMETS; ARTICLES THEREOF: Zirconium and articles thereof, including waste and scrap: Unwrought zirconium; powders</t>
  </si>
  <si>
    <t>Zirconium and articles thereof, including waste and scrap</t>
  </si>
  <si>
    <t>Unwrought zirconium; powders</t>
  </si>
  <si>
    <t>CHAPTER 81 - OTHER BASE METALS; CERMETS; ARTICLES THEREOF: Zirconium and articles thereof, including waste and scrap: Unwrought zirconium; powders: Containing less than 1 part hafnium to 500 parts zirconium by weight</t>
  </si>
  <si>
    <t>Unwrought zirconium; powders: Containing less than 1 part hafnium to 500 parts zirconium by weight</t>
  </si>
  <si>
    <t>CHAPTER 81 - OTHER BASE METALS; CERMETS; ARTICLES THEREOF: Zirconium and articles thereof, including waste and scrap: Unwrought zirconium; powders: Other</t>
  </si>
  <si>
    <t>Unwrought zirconium; powders: Other</t>
  </si>
  <si>
    <t>CHAPTER 81 - OTHER BASE METALS; CERMETS; ARTICLES THEREOF: Zirconium and articles thereof, including waste and scrap: Waste and scrap</t>
  </si>
  <si>
    <t>CHAPTER 81 - OTHER BASE METALS; CERMETS; ARTICLES THEREOF: Zirconium and articles thereof, including waste and scrap: Waste and scrap: Containing less than 1 part hafnium to 500 parts zirconium by weight</t>
  </si>
  <si>
    <t>Waste and scrap: Containing less than 1 part hafnium to 500 parts zirconium by weight</t>
  </si>
  <si>
    <t>CHAPTER 81 - OTHER BASE METALS; CERMETS; ARTICLES THEREOF: Zirconium and articles thereof, including waste and scrap: Waste and scrap: Other</t>
  </si>
  <si>
    <t>Waste and scrap: Other</t>
  </si>
  <si>
    <t>CHAPTER 81 - OTHER BASE METALS; CERMETS; ARTICLES THEREOF: Zirconium and articles thereof, including waste and scrap: Other</t>
  </si>
  <si>
    <t>CHAPTER 81 - OTHER BASE METALS; CERMETS; ARTICLES THEREOF: Zirconium and articles thereof, including waste and scrap: Other: Containing less than 1 part hafnium to 500 part zirconium by weight</t>
  </si>
  <si>
    <t>Other: Containing less than 1 part hafnium to 500 part zirconium by weight</t>
  </si>
  <si>
    <t>CHAPTER 81 - OTHER BASE METALS; CERMETS; ARTICLES THEREOF: Zirconium and articles thereof, including waste and scrap: Other: Other</t>
  </si>
  <si>
    <t>CHAPTER 81 - OTHER BASE METALS; CERMETS; ARTICLES THEREOF: Beryllium, chromium, hafnium, rhenium, thallium, cadmium, germanium, vanadium, gallium, indium and niobium (columbium), and articles of these metals, including waste and scrap: Hafnium: Unwrought; waste and scrap; powders</t>
  </si>
  <si>
    <t>Hafnium: Unwrought; waste and scrap; powders</t>
  </si>
  <si>
    <t>Beryllium, chromium, hafnium, rhenium, thallium, cadmium, germanium, vanadium, gallium, indium and niobium (columbium), and articles of these metals, including waste and scrap</t>
  </si>
  <si>
    <t>CHAPTER 81 - OTHER BASE METALS; CERMETS; ARTICLES THEREOF: Beryllium, chromium, hafnium, rhenium, thallium, cadmium, germanium, vanadium, gallium, indium and niobium (columbium), and articles of these metals, including waste and scrap: Hafnium: Other</t>
  </si>
  <si>
    <t>Hafnium: Other</t>
  </si>
  <si>
    <t>CHAPTER 81 - OTHER BASE METALS; CERMETS; ARTICLES THEREOF: Beryllium, chromium, hafnium, rhenium, thallium, cadmium, germanium, vanadium, gallium, indium and niobium (columbium), and articles of these metals, including waste and scrap: Rhenium: Unwrought; waste and scrap; powders: Waste and scrap</t>
  </si>
  <si>
    <t>CHAPTER 81 - OTHER BASE METALS; CERMETS; ARTICLES THEREOF: Beryllium, chromium, hafnium, rhenium, thallium, cadmium, germanium, vanadium, gallium, indium and niobium (columbium), and articles of these metals, including waste and scrap: Rhenium: Unwrought; waste and scrap; powders: Other</t>
  </si>
  <si>
    <t>CHAPTER 81 - OTHER BASE METALS; CERMETS; ARTICLES THEREOF: Beryllium, chromium, hafnium, rhenium, thallium, cadmium, germanium, vanadium, gallium, indium and niobium (columbium), and articles of these metals, including waste and scrap: Rhenium: Other</t>
  </si>
  <si>
    <t>Rhenium: Other</t>
  </si>
  <si>
    <t>CHAPTER 81 - OTHER BASE METALS; CERMETS; ARTICLES THEREOF: Beryllium, chromium, hafnium, rhenium, thallium, cadmium, germanium, vanadium, gallium, indium and niobium (columbium), and articles of these metals, including waste and scrap: Cadmium: Waste and scrap</t>
  </si>
  <si>
    <t>Cadmium: Waste and scrap</t>
  </si>
  <si>
    <t>CHAPTER 81 - OTHER BASE METALS; CERMETS; ARTICLES THEREOF: Beryllium, chromium, hafnium, rhenium, thallium, cadmium, germanium, vanadium, gallium, indium and niobium (columbium), and articles of these metals, including waste and scrap: Cadmium: Other: Unwrought cadmium; powders</t>
  </si>
  <si>
    <t>CHAPTER 81 - OTHER BASE METALS; CERMETS; ARTICLES THEREOF: Beryllium, chromium, hafnium, rhenium, thallium, cadmium, germanium, vanadium, gallium, indium and niobium (columbium), and articles of these metals, including waste and scrap: Cadmium: Other: Other</t>
  </si>
  <si>
    <t>CHAPTER 81 - OTHER BASE METALS; CERMETS; ARTICLES THEREOF: Beryllium, chromium, germanium, vanadium, gallium, hafnium, indium, niobium (columbium), rhenium and thallium, and articles of these metals, including waste and scrap: Other: Unwrought; waste and scrap; powders: Hafnium (celtium)</t>
  </si>
  <si>
    <t>Other :"Unwrought; waste and scrap; powders</t>
  </si>
  <si>
    <t>CHAPTER 81 - OTHER BASE METALS; CERMETS; ARTICLES THEREOF: Beryllium, chromium, germanium, vanadium, gallium, hafnium, indium, niobium (columbium), rhenium and thallium, and articles of these metals, including waste and scrap: Other: Unwrought; waste and scrap; powders: Niobium (columbium); rhenium; gallium; indium; vanadium; germanium: Other: Niobium (columbium); rhenium</t>
  </si>
  <si>
    <t>CHAPTER 81 - OTHER BASE METALS; CERMETS; ARTICLES THEREOF: Beryllium, chromium, hafnium, rhenium, thallium, cadmium, germanium, vanadium, gallium, indium and niobium (columbium), and articles of these metals, including waste and scrap: Other: Unwrought; waste and scrap; powders: Niobium (columbium); gallium; indium; vanadium; germanium: Other: Niobium (columbium)</t>
  </si>
  <si>
    <t>Niobium (columbium); gallium; indium; vanadium; germanium: Other: Niobium (columbium)</t>
  </si>
  <si>
    <t>CHAPTER 81 - OTHER BASE METALS; CERMETS; ARTICLES THEREOF: Beryllium, chromium, germanium, vanadium, gallium, hafnium, indium, niobium (columbium), rhenium and thallium, and articles of these metals, including waste and scrap: Other: Other: Hafnium (celtium); germanium</t>
  </si>
  <si>
    <t>CHAPTER 81 - OTHER BASE METALS; CERMETS; ARTICLES THEREOF: Beryllium, chromium, germanium, vanadium, gallium, hafnium, indium, niobium (columbium), rhenium and thallium, and articles of these metals, including waste and scrap: Other: Other: Niobium (columbium); rhenium</t>
  </si>
  <si>
    <t>CHAPTER 81 - OTHER BASE METALS; CERMETS; ARTICLES THEREOF: Beryllium, chromium, hafnium, rhenium, thallium, cadmium, germanium, vanadium, gallium, indium and niobium (columbium), and articles of these metals, including waste and scrap: Other: Other: Germanium</t>
  </si>
  <si>
    <t>Germanium</t>
  </si>
  <si>
    <t>CHAPTER 81 - OTHER BASE METALS; CERMETS; ARTICLES THEREOF: Beryllium, chromium, hafnium, rhenium, thallium, cadmium, germanium, vanadium, gallium, indium and niobium (columbium), and articles of these metals, including waste and scrap: Other: Other: Niobium (columbium)</t>
  </si>
  <si>
    <t>Niobium (columbium)</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</si>
  <si>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Gas-tight biological safety cabinets</t>
  </si>
  <si>
    <t>Gas-tight biological safety cabinets</t>
  </si>
  <si>
    <t>CHAPTER 84 - NUCLEAR REACTORS, BOILERS, MACHINERY AND MECHANICAL APPLIANCES; PARTS THEREOF</t>
  </si>
  <si>
    <t>Air or vacuum pumps, air or other gas compressors and fans; ventilating or recycling hoods incorporating a fan, whether or not fitted with filters; gas-tight biological safety cabinets, whether or not fitted with filters</t>
  </si>
  <si>
    <t>CHAPTER 84 - NUCLEAR REACTORS, BOILERS, MACHINERY AND MECHANICAL APPLIANCES; PARTS THEREOF: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Instantaneous or storage water heaters, non-electric: Solar water heaters</t>
  </si>
  <si>
    <t>Instantaneous or storage water heaters, non-electric: Solar water heaters</t>
  </si>
  <si>
    <t>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</si>
  <si>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Instantaneous or storage water heaters, non-electric :</t>
  </si>
  <si>
    <t>CHAPTER 84 - NUCLEAR REACTORS, BOILERS, MACHINERY AND MECHANICAL APPLIANCES; PARTS THEREOF: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Dryers: For agricultural products</t>
  </si>
  <si>
    <t>Dryers :"For agricultural products</t>
  </si>
  <si>
    <t>CHAPTER 84 - NUCLEAR REACTORS, BOILERS, MACHINERY AND MECHANICAL APPLIANCES; PARTS THEREOF: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Dryers: For wood, paper pulp, paper or paperboard</t>
  </si>
  <si>
    <t>Dryers :"For wood, paper pulp, paper or paperboard</t>
  </si>
  <si>
    <t>CHAPTER 84 - NUCLEAR REACTORS, BOILERS, MACHINERY AND MECHANICAL APPLIANCES; PARTS THEREOF: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Dryers: Lyophilisation apparatus, freeze drying units and spray dryers</t>
  </si>
  <si>
    <t>Dryers: Lyophilisation apparatus, freeze drying units and spray dryers</t>
  </si>
  <si>
    <t>Dryers :</t>
  </si>
  <si>
    <t>CHAPTER 84 - NUCLEAR REACTORS, BOILERS, MACHINERY AND MECHANICAL APPLIANCES; PARTS THEREOF: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Dryers: Other, for agricultural products</t>
  </si>
  <si>
    <t>Dryers: Other, for agricultural products</t>
  </si>
  <si>
    <t>CHAPTER 84 - NUCLEAR REACTORS, BOILERS, MACHINERY AND MECHANICAL APPLIANCES; PARTS THEREOF: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Dryers: Other, for wood, paper pulp, paper or paperboard</t>
  </si>
  <si>
    <t>Dryers: Other, for wood, paper pulp, paper or paperboard</t>
  </si>
  <si>
    <t>CHAPTER 84 - NUCLEAR REACTORS, BOILERS, MACHINERY AND MECHANICAL APPLIANCES; PARTS THEREOF: Centrifuges, including centrifugal dryers; filtering or purifying machinery and apparatus, for liquids or gases: Filtering or purifying machinery and apparatus for gases: Catalytic converters or particulate filters, whether or not combined, for purifying or filtering exhaust gases from internal combustion engines</t>
  </si>
  <si>
    <t>Filtering or purifying machinery and apparatus for gases: Catalytic converters or particulate filters, whether or not combined, for purifying or filtering exhaust gases from internal combustion engines</t>
  </si>
  <si>
    <t>Centrifuges, including centrifugal dryers; filtering or purifying machinery and apparatus, for liquids or gases</t>
  </si>
  <si>
    <t>Filtering or purifying machinery and apparatus for gases :</t>
  </si>
  <si>
    <t>CHAPTER 84 - NUCLEAR REACTORS, BOILERS, MACHINERY AND MECHANICAL APPLIANCES; PARTS THEREOF: Other lifting, handling, loading or unloading machinery (for example, lifts, escalators, conveyors, teleferics): Industrial robots</t>
  </si>
  <si>
    <t>Industrial robots</t>
  </si>
  <si>
    <t>Other lifting, handling, loading or unloading machinery (for example, lifts, escalators, conveyors, teleferics)</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</si>
  <si>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Forging or die-stamping machines (including presses) and hammers: Numerically controlled</t>
  </si>
  <si>
    <t>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t>
  </si>
  <si>
    <t>Forging or die-stamping machines (including presses) and hammers</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</si>
  <si>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Forging or die-stamping machines (including presses) and hammers: Other</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</si>
  <si>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Hot forming machines for forging, die forging (including presses) and hot hammers: Closed die forging machines: Numerically controlled</t>
  </si>
  <si>
    <t>Numerically controlled</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</si>
  <si>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Hot forming machines for forging, die forging (including presses) and hot hammers: Closed die forging machines: Other</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</si>
  <si>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Hot forming machines for forging, die forging (including presses) and hot hammers: Other: Numerically controlled</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</si>
  <si>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Hot forming machines for forging, die forging (including presses) and hot hammers: Other: Other</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</si>
  <si>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Bending, folding, straightening or flattening machines (including presses): Numerically controlled: For working flat products</t>
  </si>
  <si>
    <t>Bending, folding, straightening or flattening machines (including presses) :"Numerically controlled</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</si>
  <si>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Bending, folding, straightening or flattening machines (including presses): Numerically controlled: Other</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</si>
  <si>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Bending, folding, straightening or flattening machines (including press brakes) for flat products: Profile forming machines: Numerically controlled</t>
  </si>
  <si>
    <t>Bending, folding, straightening or flattening machines (including presses) :</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</si>
  <si>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Bending, folding, straightening or flattening machines (including press brakes) for flat products: Profile forming machines: Other</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</si>
  <si>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Bending, folding, straightening or flattening machines (including press brakes) for flat products: Numerically controlled press brakes</t>
  </si>
  <si>
    <t>Bending, folding, straightening or flattening machines (including press brakes) for flat products: Numerically controlled press brakes</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</si>
  <si>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Bending, folding, straightening or flattening machines (including press brakes) for flat products: Numerically controlled panel benders</t>
  </si>
  <si>
    <t>Bending, folding, straightening or flattening machines (including press brakes) for flat products: Numerically controlled panel benders</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</si>
  <si>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Bending, folding, straightening or flattening machines (including press brakes) for flat products: Numerically controlled roll forming machines</t>
  </si>
  <si>
    <t>Bending, folding, straightening or flattening machines (including press brakes) for flat products: Numerically controlled roll forming machines</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</si>
  <si>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Bending, folding, straightening or flattening machines (including press brakes) for flat products: Other numerically controlled bending, folding, straightening or flattening machines</t>
  </si>
  <si>
    <t>Bending, folding, straightening or flattening machines (including press brakes) for flat products: Other numerically controlled bending, folding, straightening or flattening machines</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</si>
  <si>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Bending, folding, straightening or flattening machines (including press brakes) for flat products: Other: Other</t>
  </si>
  <si>
    <t>Bending, folding, straightening or flattening machines (including presses) :"Other</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</si>
  <si>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Bending, folding, straightening or flattening machines (including presses): Other: Other: Hydraulic</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</si>
  <si>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Bending, folding, straightening or flattening machines (including presses): Other: Other: Other</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</si>
  <si>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Shearing machines (including presses), other than combined punching and shearing machines: Numerically controlled</t>
  </si>
  <si>
    <t>Shearing machines (including presses), other than combined punching and shearing machines :"Numerically controlled</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</si>
  <si>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Slitting lines, cut-to-length lines and other shearing machines (excluding presses) for flat products, other than combined punching and shearing machines: Slitting lines and cut-to-length lines: Numerically controlled</t>
  </si>
  <si>
    <t>Shearing machines (including presses), other than combined punching and shearing machines :</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</si>
  <si>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Slitting lines, cut-to-length lines and other shearing machines (excluding presses) for flat products, other than combined punching and shearing machines: Slitting lines and cut-to-length lines: Other</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</si>
  <si>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Slitting lines, cut-to-length lines and other shearing machines (excluding presses) for flat products, other than combined punching and shearing machines: Numerically controlled shearing machines</t>
  </si>
  <si>
    <t>Slitting lines, cut-to-length lines and other shearing machines (excluding presses) for flat products, other than combined punching and shearing machines: Numerically controlled shearing machines</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</si>
  <si>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Slitting lines, cut-to-length lines and other shearing machines (excluding presses) for flat products, other than combined punching and shearing machines: Other</t>
  </si>
  <si>
    <t>Slitting lines, cut-to-length lines and other shearing machines (excluding presses) for flat products, other than combined punching and shearing machines: Other</t>
  </si>
  <si>
    <t>Shearing machines (including presses), other than combined punching and shearing machines :"Other</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</si>
  <si>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Shearing machines (including presses), other than combined punching and shearing machines: Other: For working flat products</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</si>
  <si>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Shearing machines (including presses), other than combined punching and shearing machines: Other: Other: Hydraulic</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</si>
  <si>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Shearing machines (including presses), other than combined punching and shearing machines: Other: Other: Other</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</si>
  <si>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Punching or notching machines (including presses), including combined punching and shearing machines: Numerically controlled: For working flat products</t>
  </si>
  <si>
    <t>Punching or notching machines (including presses), including combined punching and shearing machines :"Numerically controlled</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</si>
  <si>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Punching or notching machines (including presses), including combined punching and shearing machines: Numerically controlled: Other</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</si>
  <si>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Punching, notching or nibbling machines (excluding presses) for flat products including combined punching and shearing machines: Numerically controlled</t>
  </si>
  <si>
    <t>Punching, notching or nibbling machines (excluding presses) for flat products including combined punching and shearing machines: Numerically controlled</t>
  </si>
  <si>
    <t>Punching or notching machines (including presses), including combined punching and shearing machines :</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</si>
  <si>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Punching, notching or nibbling machines (excluding presses) for flat products including combined punching and shearing machines: Other</t>
  </si>
  <si>
    <t>Punching, notching or nibbling machines (excluding presses) for flat products including combined punching and shearing machines: Other</t>
  </si>
  <si>
    <t>Punching or notching machines (including presses), including combined punching and shearing machines :"Other</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</si>
  <si>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Punching or notching machines (including presses), including combined punching and shearing machines: Other: For working flat products</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</si>
  <si>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Punching or notching machines (including presses), including combined punching and shearing machines: Other: Other</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</si>
  <si>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Machines for working tube, pipe, hollow section and bar (excluding presses): Numerically controlled</t>
  </si>
  <si>
    <t>Machines for working tube, pipe, hollow section and bar (excluding presses): Numerically controlled</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</si>
  <si>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Machines for working tube, pipe, hollow section and bar (excluding presses): Other</t>
  </si>
  <si>
    <t>Machines for working tube, pipe, hollow section and bar (excluding presses): Other</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</si>
  <si>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Cold metal working presses: Hydraulic presses: Numerically controlled</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</si>
  <si>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Cold metal working presses: Hydraulic presses: Other</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</si>
  <si>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Cold metal working presses: Mechanical presses: Numerically controlled</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</si>
  <si>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Cold metal working presses: Mechanical presses: Other</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</si>
  <si>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Cold metal working presses: Servo-presses: Numerically controlled</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</si>
  <si>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Cold metal working presses: Servo-presses: Other</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</si>
  <si>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Cold metal working presses: Other: Numerically controlled</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</si>
  <si>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Cold metal working presses: Other: Other</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</si>
  <si>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Other: Numerically controlled</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</si>
  <si>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Other: Other</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</si>
  <si>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Other: Hydraulic presses: Numerically controlled</t>
  </si>
  <si>
    <t>Other :"Hydraulic presses</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</si>
  <si>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Other: Hydraulic presses: Other</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</si>
  <si>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Other: Other: Numerically controlled</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</si>
  <si>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Other: Other: Other</t>
  </si>
  <si>
    <t>CHAPTER 84 - NUCLEAR REACTORS, BOILERS, MACHINERY AND MECHANICAL APPLIANCES; PARTS THEREOF: Machines and mechanical appliances having individual functions, not specified or included elsewhere in this chapter: Other machines and mechanical appliances: Cold isostatic presses</t>
  </si>
  <si>
    <t>Other machines and mechanical appliances: Cold isostatic presses</t>
  </si>
  <si>
    <t>Machines and mechanical appliances having individual functions, not specified or included elsewhere in this chapter</t>
  </si>
  <si>
    <t>Other machines and mechanical appliances :</t>
  </si>
  <si>
    <t>CHAPTER 84 - NUCLEAR REACTORS, BOILERS, MACHINERY AND MECHANICAL APPLIANCES; PARTS THEREOF: Machines for additive manufacturing: By metal deposit</t>
  </si>
  <si>
    <t>By metal deposit</t>
  </si>
  <si>
    <t>Machines for additive manufacturing</t>
  </si>
  <si>
    <t>CHAPTER 84 - NUCLEAR REACTORS, BOILERS, MACHINERY AND MECHANICAL APPLIANCES; PARTS THEREOF: Machines for additive manufacturing: By plastics or rubber deposit</t>
  </si>
  <si>
    <t>By plastics or rubber deposit</t>
  </si>
  <si>
    <t>CHAPTER 84 - NUCLEAR REACTORS, BOILERS, MACHINERY AND MECHANICAL APPLIANCES; PARTS THEREOF: Machines for additive manufacturing: By plaster, cement, ceramics or glass deposit: By plaster, cement, or ceramic deposit</t>
  </si>
  <si>
    <t>By plaster, cement, or ceramic deposit</t>
  </si>
  <si>
    <t>CHAPTER 84 - NUCLEAR REACTORS, BOILERS, MACHINERY AND MECHANICAL APPLIANCES; PARTS THEREOF: Machines for additive manufacturing: By plaster, cement, ceramics or glass deposit: Other</t>
  </si>
  <si>
    <t>CHAPTER 84 - NUCLEAR REACTORS, BOILERS, MACHINERY AND MECHANICAL APPLIANCES; PARTS THEREOF: Machines for additive manufacturing: Other</t>
  </si>
  <si>
    <t>CHAPTER 84 - NUCLEAR REACTORS, BOILERS, MACHINERY AND MECHANICAL APPLIANCES; PARTS THEREOF: Machines for additive manufacturing: Parts: Parts of machines of subheading 84853010</t>
  </si>
  <si>
    <t>Parts of machines of subheading 84853010</t>
  </si>
  <si>
    <t>CHAPTER 84 - NUCLEAR REACTORS, BOILERS, MACHINERY AND MECHANICAL APPLIANCES; PARTS THEREOF: Machines for additive manufacturing: Parts: Other</t>
  </si>
  <si>
    <t>CHAPTER 85 - ELECTRICAL MACHINERY AND EQUIPMENT AND PARTS THEREOF; SOUND RECORDERS AND REPRODUCERS, TELEVISION IMAGE AND SOUND RECORDERS AND REPRODUCERS, AND PARTS AND ACCESSORIES OF SUCH ARTICLES: Electric motors and generators (excluding generating sets): Photovoltaic DC generators: Of an output not exceeding 50 W</t>
  </si>
  <si>
    <t>Photovoltaic DC generators: Of an output not exceeding 50 W</t>
  </si>
  <si>
    <t>CHAPTER 85 - ELECTRICAL MACHINERY AND EQUIPMENT AND PARTS THEREOF; SOUND RECORDERS AND REPRODUCERS, TELEVISION IMAGE AND SOUND RECORDERS AND REPRODUCERS, AND PARTS AND ACCESSORIES OF SUCH ARTICLES</t>
  </si>
  <si>
    <t>Electric motors and generators (excluding generating sets)</t>
  </si>
  <si>
    <t>CHAPTER 85 - ELECTRICAL MACHINERY AND EQUIPMENT AND PARTS THEREOF; SOUND RECORDERS AND REPRODUCERS, TELEVISION IMAGE AND SOUND RECORDERS AND REPRODUCERS, AND PARTS AND ACCESSORIES OF SUCH ARTICLES: Electric motors and generators (excluding generating sets): Photovoltaic DC generators: Of an output exceeding 50  W</t>
  </si>
  <si>
    <t>Photovoltaic DC generators: Of an output exceeding 50  W</t>
  </si>
  <si>
    <t>CHAPTER 85 - ELECTRICAL MACHINERY AND EQUIPMENT AND PARTS THEREOF; SOUND RECORDERS AND REPRODUCERS, TELEVISION IMAGE AND SOUND RECORDERS AND REPRODUCERS, AND PARTS AND ACCESSORIES OF SUCH ARTICLES: Electric motors and generators (excluding generating sets): Photovoltaic AC generators</t>
  </si>
  <si>
    <t>Photovoltaic AC generators</t>
  </si>
  <si>
    <t>CHAPTER 85 - ELECTRICAL MACHINERY AND EQUIPMENT AND PARTS THEREOF; SOUND RECORDERS AND REPRODUCERS, TELEVISION IMAGE AND SOUND RECORDERS AND REPRODUCERS, AND PARTS AND ACCESSORIES OF SUCH ARTICLES: Electric accumulators, including separators therefor, whether or not rectangular (including square): Nickel-iron</t>
  </si>
  <si>
    <t>Electric accumulators, including separators therefor, whether or not rectangular (including square)</t>
  </si>
  <si>
    <t>Nickel-iron</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</si>
  <si>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Resistance heated furnaces and ovens: Bakery and biscuit ovens</t>
  </si>
  <si>
    <t>Industrial or laboratory electric furnaces and ovens (including those functioning by induction or dielectric loss); other industrial or laboratory equipment for the heat treatment of materials by induction or dielectric loss</t>
  </si>
  <si>
    <t>Resistance heated furnaces and ovens</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</si>
  <si>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Resistance heated furnaces and ovens: Other</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</si>
  <si>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Resistance heated furnaces and ovens: Hot isostatic presses</t>
  </si>
  <si>
    <t>Resistance heated furnaces and ovens: Hot isostatic presses</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</si>
  <si>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Resistance heated furnaces and ovens: Other: Bakery and biscuit ovens</t>
  </si>
  <si>
    <t>Bakery and biscuit ovens</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</si>
  <si>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Resistance heated furnaces and ovens: Other: Other</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</si>
  <si>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Other furnaces and ovens: Of a kind used solely or principally for the manufacture of printed circuits or printed circuit assemblies</t>
  </si>
  <si>
    <t>Other furnaces and ovens</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</si>
  <si>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Other furnaces and ovens: Other</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</si>
  <si>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Other furnaces and ovens: Electron beam furnaces: Of a kind used solely or principally for the manufacture of printed circuits or printed circuit assemblies</t>
  </si>
  <si>
    <t>Of a kind used solely or principally for the manufacture of printed circuits or printed circuit assemblies</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</si>
  <si>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Other furnaces and ovens: Electron beam furnaces: Other</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</si>
  <si>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Other furnaces and ovens: Plasma and vacuum arc furnaces: Of a kind used solely or principally for the manufacture of printed circuits or printed circuit assemblies</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</si>
  <si>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Other furnaces and ovens: Plasma and vacuum arc furnaces: Other</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</si>
  <si>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Other furnaces and ovens: Other: Of a kind used solely or principally for the manufacture of printed circuits or printed circuit assemblies</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</si>
  <si>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Other furnaces and ovens: Other: Other</t>
  </si>
  <si>
    <t>CHAPTER 85 - ELECTRICAL MACHINERY AND EQUIPMENT AND PARTS THEREOF; SOUND RECORDERS AND REPRODUCERS, TELEVISION IMAGE AND SOUND RECORDERS AND REPRODUCERS, AND PARTS AND ACCESSORIES OF SUCH ARTICLES: 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Telephone sets, including telephones for cellular networks or for other wireless networks: Telephones for cellular networks or for other wireless networks</t>
  </si>
  <si>
    <t>Telephone sets, including smartphones and other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t>
  </si>
  <si>
    <t>Telephone sets, including telephones for cellular networks or for other wireless networks :"Telephones for cellular networks or for other wireless networks</t>
  </si>
  <si>
    <t>CHAPTER 85 - ELECTRICAL MACHINERY AND EQUIPMENT AND PARTS THEREOF; SOUND RECORDERS AND REPRODUCERS, TELEVISION IMAGE AND SOUND RECORDERS AND REPRODUCERS, AND PARTS AND ACCESSORIES OF SUCH ARTICLES: Telephone sets, including smartphones and other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Telephone sets, including smartphones and other telephones for cellular networks or for other wireless networks: Smartphones</t>
  </si>
  <si>
    <t>Telephone sets, including smartphones and other telephones for cellular networks or for other wireless networks: Smartphones</t>
  </si>
  <si>
    <t>Telephone sets, including telephones for cellular networks or for other wireless networks :</t>
  </si>
  <si>
    <t>CHAPTER 85 - ELECTRICAL MACHINERY AND EQUIPMENT AND PARTS THEREOF; SOUND RECORDERS AND REPRODUCERS, TELEVISION IMAGE AND SOUND RECORDERS AND REPRODUCERS, AND PARTS AND ACCESSORIES OF SUCH ARTICLES: Telephone sets, including smartphones and other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Telephone sets, including smartphones and other telephones for cellular networks or for other wireless networks: Other telephones for cellular networks or for other wireless networks</t>
  </si>
  <si>
    <t>Telephone sets, including smartphones and other telephones for cellular networks or for other wireless networks: Other telephones for cellular networks or for other wireless networks</t>
  </si>
  <si>
    <t>CHAPTER 85 - ELECTRICAL MACHINERY AND EQUIPMENT AND PARTS THEREOF; SOUND RECORDERS AND REPRODUCERS, TELEVISION IMAGE AND SOUND RECORDERS AND REPRODUCERS, AND PARTS AND ACCESSORIES OF SUCH ARTICLES: 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Parts</t>
  </si>
  <si>
    <t>Parts</t>
  </si>
  <si>
    <t>CHAPTER 85 - ELECTRICAL MACHINERY AND EQUIPMENT AND PARTS THEREOF; SOUND RECORDERS AND REPRODUCERS, TELEVISION IMAGE AND SOUND RECORDERS AND REPRODUCERS, AND PARTS AND ACCESSORIES OF SUCH ARTICLES: Telephone sets, including smartphones and other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Parts: Aerials and aerial reflectors of all kinds; parts suitable for use therewith</t>
  </si>
  <si>
    <t>Parts: Aerials and aerial reflectors of all kinds; parts suitable for use therewith</t>
  </si>
  <si>
    <t>CHAPTER 85 - ELECTRICAL MACHINERY AND EQUIPMENT AND PARTS THEREOF; SOUND RECORDERS AND REPRODUCERS, TELEVISION IMAGE AND SOUND RECORDERS AND REPRODUCERS, AND PARTS AND ACCESSORIES OF SUCH ARTICLES: Telephone sets, including smartphones and other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Parts: Other</t>
  </si>
  <si>
    <t>Parts: Other</t>
  </si>
  <si>
    <t>CHAPTER 85 - ELECTRICAL MACHINERY AND EQUIPMENT AND PARTS THEREOF; SOUND RECORDERS AND REPRODUCERS, TELEVISION IMAGE AND SOUND RECORDERS AND REPRODUCERS, AND PARTS AND ACCESSORIES OF SUCH ARTICLES: Sound recording or sound reproducing apparatus: Telephone answering machines</t>
  </si>
  <si>
    <t>Sound recording or sound reproducing apparatus</t>
  </si>
  <si>
    <t>Telephone answering machines</t>
  </si>
  <si>
    <t>CHAPTER 85 - ELECTRICAL MACHINERY AND EQUIPMENT AND PARTS THEREOF; SOUND RECORDERS AND REPRODUCERS, TELEVISION IMAGE AND SOUND RECORDERS AND REPRODUCERS, AND PARTS AND ACCESSORIES OF SUCH ARTICLES: Flat panel display modules, whether or not incorporating touch-sensitive screens: Without drivers or control circuits: Of liquid crystals</t>
  </si>
  <si>
    <t>Without drivers or control circuits: Of liquid crystals</t>
  </si>
  <si>
    <t>Flat panel display modules, whether or not incorporating touch-sensitive screens</t>
  </si>
  <si>
    <t>CHAPTER 85 - ELECTRICAL MACHINERY AND EQUIPMENT AND PARTS THEREOF; SOUND RECORDERS AND REPRODUCERS, TELEVISION IMAGE AND SOUND RECORDERS AND REPRODUCERS, AND PARTS AND ACCESSORIES OF SUCH ARTICLES: Flat panel display modules, whether or not incorporating touch-sensitive screens: Without drivers or control circuits: Of organic light-emitting diodes (OLED)</t>
  </si>
  <si>
    <t>Without drivers or control circuits: Of organic light-emitting diodes (OLED)</t>
  </si>
  <si>
    <t>CHAPTER 85 - ELECTRICAL MACHINERY AND EQUIPMENT AND PARTS THEREOF; SOUND RECORDERS AND REPRODUCERS, TELEVISION IMAGE AND SOUND RECORDERS AND REPRODUCERS, AND PARTS AND ACCESSORIES OF SUCH ARTICLES: Flat panel display modules, whether or not incorporating touch-sensitive screens: Without drivers or control circuits: Other</t>
  </si>
  <si>
    <t>Without drivers or control circuits: Other</t>
  </si>
  <si>
    <t>CHAPTER 85 - ELECTRICAL MACHINERY AND EQUIPMENT AND PARTS THEREOF; SOUND RECORDERS AND REPRODUCERS, TELEVISION IMAGE AND SOUND RECORDERS AND REPRODUCERS, AND PARTS AND ACCESSORIES OF SUCH ARTICLES: Flat panel display modules, whether or not incorporating touch-sensitive screens: Other: Of liquid crystals</t>
  </si>
  <si>
    <t>Other: Of liquid crystals</t>
  </si>
  <si>
    <t>CHAPTER 85 - ELECTRICAL MACHINERY AND EQUIPMENT AND PARTS THEREOF; SOUND RECORDERS AND REPRODUCERS, TELEVISION IMAGE AND SOUND RECORDERS AND REPRODUCERS, AND PARTS AND ACCESSORIES OF SUCH ARTICLES: Flat panel display modules, whether or not incorporating touch-sensitive screens: Other: Of organic light-emitting diodes (OLED)</t>
  </si>
  <si>
    <t>Other: Of organic light-emitting diodes (OLED)</t>
  </si>
  <si>
    <t>CHAPTER 85 - ELECTRICAL MACHINERY AND EQUIPMENT AND PARTS THEREOF; SOUND RECORDERS AND REPRODUCERS, TELEVISION IMAGE AND SOUND RECORDERS AND REPRODUCERS, AND PARTS AND ACCESSORIES OF SUCH ARTICLES: Flat panel display modules, whether or not incorporating touch-sensitive screens: Other: Other</t>
  </si>
  <si>
    <t>CHAPTER 85 - ELECTRICAL MACHINERY AND EQUIPMENT AND PARTS THEREOF; SOUND RECORDERS AND REPRODUCERS, TELEVISION IMAGE AND SOUND RECORDERS AND REPRODUCERS, AND PARTS AND ACCESSORIES OF SUCH ARTICLES: Transmission apparatus for radio-broadcasting or television, whether or not incorporating reception apparatus or sound recording or reproducing apparatus; television cameras, digital cameras and video camera recorders: Television cameras, digital cameras and video camera recorders: Television cameras: With three or more camera tubes</t>
  </si>
  <si>
    <t>Transmission apparatus for radio-broadcasting or television, whether or not incorporating reception apparatus or sound recording or reproducing apparatus; television cameras, digital cameras and video camera recorders</t>
  </si>
  <si>
    <t>Television cameras, digital cameras and video camera recorders</t>
  </si>
  <si>
    <t>CHAPTER 85 - ELECTRICAL MACHINERY AND EQUIPMENT AND PARTS THEREOF; SOUND RECORDERS AND REPRODUCERS, TELEVISION IMAGE AND SOUND RECORDERS AND REPRODUCERS, AND PARTS AND ACCESSORIES OF SUCH ARTICLES: Transmission apparatus for radio-broadcasting or television, whether or not incorporating reception apparatus or sound recording or reproducing apparatus; television cameras, digital cameras and video camera recorders: Television cameras, digital cameras and video camera recorders: Television cameras: Other</t>
  </si>
  <si>
    <t>CHAPTER 85 - ELECTRICAL MACHINERY AND EQUIPMENT AND PARTS THEREOF; SOUND RECORDERS AND REPRODUCERS, TELEVISION IMAGE AND SOUND RECORDERS AND REPRODUCERS, AND PARTS AND ACCESSORIES OF SUCH ARTICLES: Transmission apparatus for radio-broadcasting or television, whether or not incorporating reception apparatus or sound recording or reproducing apparatus; television cameras, digital cameras and video camera recorders: Television cameras, digital cameras and video camera recorders: Digital cameras</t>
  </si>
  <si>
    <t>CHAPTER 85 - ELECTRICAL MACHINERY AND EQUIPMENT AND PARTS THEREOF; SOUND RECORDERS AND REPRODUCERS, TELEVISION IMAGE AND SOUND RECORDERS AND REPRODUCERS, AND PARTS AND ACCESSORIES OF SUCH ARTICLES: Transmission apparatus for radio-broadcasting or television, whether or not incorporating reception apparatus or sound recording or reproducing apparatus; television cameras, digital cameras and video camera recorders: Television cameras, digital cameras and video camera recorders: Video camera recorders: Only able to record sound and images taken by the television camera</t>
  </si>
  <si>
    <t>CHAPTER 85 - ELECTRICAL MACHINERY AND EQUIPMENT AND PARTS THEREOF; SOUND RECORDERS AND REPRODUCERS, TELEVISION IMAGE AND SOUND RECORDERS AND REPRODUCERS, AND PARTS AND ACCESSORIES OF SUCH ARTICLES: Transmission apparatus for radio-broadcasting or television, whether or not incorporating reception apparatus or sound recording or reproducing apparatus; television cameras, digital cameras and video camera recorders: Television cameras, digital cameras and video camera recorders: Video camera recorders: Other</t>
  </si>
  <si>
    <t>CHAPTER 85 - ELECTRICAL MACHINERY AND EQUIPMENT AND PARTS THEREOF; SOUND RECORDERS AND REPRODUCERS, TELEVISION IMAGE AND SOUND RECORDERS AND REPRODUCERS, AND PARTS AND ACCESSORIES OF SUCH ARTICLES: Transmission apparatus for radio-broadcasting or television, whether or not incorporating reception apparatus or sound recording or reproducing apparatus; television cameras, digital cameras and video camera recorders: Television cameras, digital cameras and video camera recorders: High-speed goods as specified in subheading note 1 to this chapter</t>
  </si>
  <si>
    <t>Television cameras, digital cameras and video camera recorders: High-speed goods as specified in subheading note 1 to this chapter</t>
  </si>
  <si>
    <t>CHAPTER 85 - ELECTRICAL MACHINERY AND EQUIPMENT AND PARTS THEREOF; SOUND RECORDERS AND REPRODUCERS, TELEVISION IMAGE AND SOUND RECORDERS AND REPRODUCERS, AND PARTS AND ACCESSORIES OF SUCH ARTICLES: Transmission apparatus for radio-broadcasting or television, whether or not incorporating reception apparatus or sound recording or reproducing apparatus; television cameras, digital cameras and video camera recorders: Television cameras, digital cameras and video camera recorders: Other, radiation-hardened or radiation-tolerant goods as specified in subheading note 2 to this chapter</t>
  </si>
  <si>
    <t>Television cameras, digital cameras and video camera recorders: Other, radiation-hardened or radiation-tolerant goods as specified in subheading note 2 to this chapter</t>
  </si>
  <si>
    <t>CHAPTER 85 - ELECTRICAL MACHINERY AND EQUIPMENT AND PARTS THEREOF; SOUND RECORDERS AND REPRODUCERS, TELEVISION IMAGE AND SOUND RECORDERS AND REPRODUCERS, AND PARTS AND ACCESSORIES OF SUCH ARTICLES: Transmission apparatus for radio-broadcasting or television, whether or not incorporating reception apparatus or sound recording or reproducing apparatus; television cameras, digital cameras and video camera recorders: Television cameras, digital cameras and video camera recorders: Other, night vision goods as specified in subheading note 3 to this chapter</t>
  </si>
  <si>
    <t>Television cameras, digital cameras and video camera recorders: Other, night vision goods as specified in subheading note 3 to this chapter</t>
  </si>
  <si>
    <t>CHAPTER 85 - ELECTRICAL MACHINERY AND EQUIPMENT AND PARTS THEREOF; SOUND RECORDERS AND REPRODUCERS, TELEVISION IMAGE AND SOUND RECORDERS AND REPRODUCERS, AND PARTS AND ACCESSORIES OF SUCH ARTICLES: Transmission apparatus for radio-broadcasting or television, whether or not incorporating reception apparatus or sound recording or reproducing apparatus; television cameras, digital cameras and video camera recorders: Television cameras, digital cameras and video camera recorders: Other</t>
  </si>
  <si>
    <t>Television cameras, digital cameras and video camera recorders: Other</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</si>
  <si>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8524 to 8528: Other: Other: Of articles of subheadings 85241100 and 85249100</t>
  </si>
  <si>
    <t>Other: Of articles of subheadings 85241100 and 85249100</t>
  </si>
  <si>
    <t>Parts suitable for use solely or principally with the apparatus of headings 8524 to 8528</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</si>
  <si>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8524 to 8528: Other: Other: Other: Cabinets and cases</t>
  </si>
  <si>
    <t>Other: Other: Cabinets and cases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</si>
  <si>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8525 to 8528: Other: Other: Other: Cabinets and cases: Of wood</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</si>
  <si>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8525 to 8528: Other: Other: Other: Cabinets and cases: Of other materials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</si>
  <si>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Light-emitting diode (LED) lamps</t>
  </si>
  <si>
    <t>Electric filament or discharge lamps, including sealed beam lamp units and ultraviolet or infra-red lamps; arc-lamps; light-emitting diode (LED) light sources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</si>
  <si>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Light-emitting diode (LED) light sources: Light-emitting diode (LED) modules</t>
  </si>
  <si>
    <t>Light-emitting diode (LED) light sources: Light-emitting diode (LED) modules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</si>
  <si>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Light-emitting diode (LED) light sources: Light-emitting diode (LED) lamps</t>
  </si>
  <si>
    <t>Light-emitting diode (LED) light sources: Light-emitting diode (LED) lamps</t>
  </si>
  <si>
    <t>CHAPTER 85 - ELECTRICAL MACHINERY AND EQUIPMENT AND PARTS THEREOF; SOUND RECORDERS AND REPRODUCERS, TELEVISION IMAGE AND SOUND RECORDERS AND REPRODUCERS, AND PARTS AND ACCESSORIES OF SUCH ARTICLES: Diodes, transistors and similar semiconductor devices; photosensitive semiconductor devices, including photovoltaic cells whether or not assembled in modules or made up into panels; light-emitting diodes (LED); mounted piezoelectric crystals: Photosensitive semiconductor devices, including photovoltaic cells whether or not assembled in modules or made up into panels; light-emitting diodes (LED): Light-emitting diodes (LED), including laser diodes</t>
  </si>
  <si>
    <t>Semiconductor devices (for example, diodes, transistors, semiconductor-based transducers); photosensitive semiconductor devices, including photovoltaic cells whether or not assembled in modules or made up into panels; light-emitting diodes (LED), whether or not assembled with other light-emitting diodes (LED); mounted piezo-electric crystals</t>
  </si>
  <si>
    <t>Photosensitive semiconductor devices, including photovoltaic cells whether or not assembled in modules or made up into panels; light emitting diodes</t>
  </si>
  <si>
    <t>CHAPTER 85 - ELECTRICAL MACHINERY AND EQUIPMENT AND PARTS THEREOF; SOUND RECORDERS AND REPRODUCERS, TELEVISION IMAGE AND SOUND RECORDERS AND REPRODUCERS, AND PARTS AND ACCESSORIES OF SUCH ARTICLES: Diodes, transistors and similar semiconductor devices; photosensitive semiconductor devices, including photovoltaic cells whether or not assembled in modules or made up into panels; light-emitting diodes (LED); mounted piezoelectric crystals: Photosensitive semiconductor devices, including photovoltaic cells whether or not assembled in modules or made up into panels; light-emitting diodes (LED): Other</t>
  </si>
  <si>
    <t>CHAPTER 85 - ELECTRICAL MACHINERY AND EQUIPMENT AND PARTS THEREOF; SOUND RECORDERS AND REPRODUCERS, TELEVISION IMAGE AND SOUND RECORDERS AND REPRODUCERS, AND PARTS AND ACCESSORIES OF SUCH ARTICLES: Semiconductor devices (for example, diodes, transistors, semiconductor-based transducers); photosensitive semiconductor devices, including photovoltaic cells whether or not assembled in modules or made up into panels; light-emitting diodes (LED), whether or not assembled with other light-emitting diodes (LED); mounted piezo-electric crystals: Photosensitive semiconductor devices, including photovoltaic cells whether or not assembled in modules or made up into panels; light-emitting diodes (LED): Light-emitting diodes (LED)</t>
  </si>
  <si>
    <t>Photosensitive semiconductor devices, including photovoltaic cells whether or not assembled in modules or made up into panels; light-emitting diodes (LED): Light-emitting diodes (LED)</t>
  </si>
  <si>
    <t>CHAPTER 85 - ELECTRICAL MACHINERY AND EQUIPMENT AND PARTS THEREOF; SOUND RECORDERS AND REPRODUCERS, TELEVISION IMAGE AND SOUND RECORDERS AND REPRODUCERS, AND PARTS AND ACCESSORIES OF SUCH ARTICLES: Semiconductor devices (for example, diodes, transistors, semiconductor-based transducers); photosensitive semiconductor devices, including photovoltaic cells whether or not assembled in modules or made up into panels; light-emitting diodes (LED), whether or not assembled with other light-emitting diodes (LED); mounted piezo-electric crystals: Photosensitive semiconductor devices, including photovoltaic cells whether or not assembled in modules or made up into panels; light-emitting diodes (LED): Photovoltaic cells not assembled in modules or made up into panels</t>
  </si>
  <si>
    <t>Photosensitive semiconductor devices, including photovoltaic cells whether or not assembled in modules or made up into panels; light-emitting diodes (LED): Photovoltaic cells not assembled in modules or made up into panels</t>
  </si>
  <si>
    <t>CHAPTER 85 - ELECTRICAL MACHINERY AND EQUIPMENT AND PARTS THEREOF; SOUND RECORDERS AND REPRODUCERS, TELEVISION IMAGE AND SOUND RECORDERS AND REPRODUCERS, AND PARTS AND ACCESSORIES OF SUCH ARTICLES: Semiconductor devices (for example, diodes, transistors, semiconductor-based transducers); photosensitive semiconductor devices, including photovoltaic cells whether or not assembled in modules or made up into panels; light-emitting diodes (LED), whether or not assembled with other light-emitting diodes (LED); mounted piezo-electric crystals: Photosensitive semiconductor devices, including photovoltaic cells whether or not assembled in modules or made up into panels; light-emitting diodes (LED): Photovoltaic cells assembled in modules or made up into panels</t>
  </si>
  <si>
    <t>Photosensitive semiconductor devices, including photovoltaic cells whether or not assembled in modules or made up into panels; light-emitting diodes (LED): Photovoltaic cells assembled in modules or made up into panels</t>
  </si>
  <si>
    <t>CHAPTER 85 - ELECTRICAL MACHINERY AND EQUIPMENT AND PARTS THEREOF; SOUND RECORDERS AND REPRODUCERS, TELEVISION IMAGE AND SOUND RECORDERS AND REPRODUCERS, AND PARTS AND ACCESSORIES OF SUCH ARTICLES: Semiconductor devices (for example, diodes, transistors, semiconductor-based transducers); photosensitive semiconductor devices, including photovoltaic cells whether or not assembled in modules or made up into panels; light-emitting diodes (LED), whether or not assembled with other light-emitting diodes (LED); mounted piezo-electric crystals: Photosensitive semiconductor devices, including photovoltaic cells whether or not assembled in modules or made up into panels; light-emitting diodes (LED): Other</t>
  </si>
  <si>
    <t>Photosensitive semiconductor devices, including photovoltaic cells whether or not assembled in modules or made up into panels; light-emitting diodes (LED): Other</t>
  </si>
  <si>
    <t>CHAPTER 85 - ELECTRICAL MACHINERY AND EQUIPMENT AND PARTS THEREOF; SOUND RECORDERS AND REPRODUCERS, TELEVISION IMAGE AND SOUND RECORDERS AND REPRODUCERS, AND PARTS AND ACCESSORIES OF SUCH ARTICLES: Diodes, transistors and similar semiconductor devices; photosensitive semiconductor devices, including photovoltaic cells whether or not assembled in modules or made up into panels; light-emitting diodes (LED); mounted piezoelectric crystals: Other semiconductor devices</t>
  </si>
  <si>
    <t>Other semiconductor devices</t>
  </si>
  <si>
    <t>CHAPTER 85 - ELECTRICAL MACHINERY AND EQUIPMENT AND PARTS THEREOF; SOUND RECORDERS AND REPRODUCERS, TELEVISION IMAGE AND SOUND RECORDERS AND REPRODUCERS, AND PARTS AND ACCESSORIES OF SUCH ARTICLES: Semiconductor devices (for example, diodes, transistors, semiconductor-based transducers); photosensitive semiconductor devices, including photovoltaic cells whether or not assembled in modules or made up into panels; light-emitting diodes (LED), whether or not assembled with other light-emitting diodes (LED); mounted piezo-electric crystals: Other semiconductor devices: Semiconductor-based transducers</t>
  </si>
  <si>
    <t>Other semiconductor devices: Semiconductor-based transducers</t>
  </si>
  <si>
    <t>CHAPTER 85 - ELECTRICAL MACHINERY AND EQUIPMENT AND PARTS THEREOF; SOUND RECORDERS AND REPRODUCERS, TELEVISION IMAGE AND SOUND RECORDERS AND REPRODUCERS, AND PARTS AND ACCESSORIES OF SUCH ARTICLES: Semiconductor devices (for example, diodes, transistors, semiconductor-based transducers); photosensitive semiconductor devices, including photovoltaic cells whether or not assembled in modules or made up into panels; light-emitting diodes (LED), whether or not assembled with other light-emitting diodes (LED); mounted piezo-electric crystals: Other semiconductor devices: Other</t>
  </si>
  <si>
    <t>Other semiconductor devices: Other</t>
  </si>
  <si>
    <t>CHAPTER 85 - ELECTRICAL MACHINERY AND EQUIPMENT AND PARTS THEREOF; SOUND RECORDERS AND REPRODUCERS, TELEVISION IMAGE AND SOUND RECORDERS AND REPRODUCERS, AND PARTS AND ACCESSORIES OF SUCH ARTICLES: Electrical machines and apparatus, having individual functions, not specified or included elsewhere in this chapter: Electronic cigarettes and similar personal electric vaporizing devices</t>
  </si>
  <si>
    <t>Electronic cigarettes and similar personal electric vaporizing devices</t>
  </si>
  <si>
    <t>Electrical machines and apparatus, having individual functions, not specified or included elsewhere in this chapter</t>
  </si>
  <si>
    <t>CHAPTER 85 - ELECTRICAL MACHINERY AND EQUIPMENT AND PARTS THEREOF; SOUND RECORDERS AND REPRODUCERS, TELEVISION IMAGE AND SOUND RECORDERS AND REPRODUCERS, AND PARTS AND ACCESSORIES OF SUCH ARTICLES: Electrical machines and apparatus, having individual functions, not specified or included elsewhere in this chapter: Other machines and apparatus: Electronic cigarettes</t>
  </si>
  <si>
    <t>Other machines and apparatus</t>
  </si>
  <si>
    <t>CHAPTER 85 - ELECTRICAL MACHINERY AND EQUIPMENT AND PARTS THEREOF; SOUND RECORDERS AND REPRODUCERS, TELEVISION IMAGE AND SOUND RECORDERS AND REPRODUCERS, AND PARTS AND ACCESSORIES OF SUCH ARTICLES: Electrical parts of machinery or apparatus, not specified or included elsewhere in this chapter: Memories in multicombinational forms such as stack D-RAMs and modules</t>
  </si>
  <si>
    <t>Memories in multicombinational forms such as stack D-RAMs and modules</t>
  </si>
  <si>
    <t>CHAPTER 85 - ELECTRICAL MACHINERY AND EQUIPMENT AND PARTS THEREOF; SOUND RECORDERS AND REPRODUCERS, TELEVISION IMAGE AND SOUND RECORDERS AND REPRODUCERS, AND PARTS AND ACCESSORIES OF SUCH ARTICLES: Electrical parts of machinery or apparatus, not specified or included elsewhere in this chapter: Light-emitting diode (LED) backlight modules, which are lighting sources that consist of one or more LEDs, and one or more connectors and are mounted on a printed circuit or other similar substrate, and other passive components, whether or not combined with optical components or protective diodes, and used as backlight illumination for liquid crystal displays (LCDs)</t>
  </si>
  <si>
    <t>Light-emitting diode (LED) backlight modules, which are lighting sources that consist of one or more LEDs, and one or more connectors and are mounted on a printed circuit or other similar substrate, and other passive components, whether or not combined with optical components or protective diodes, and used as backlight illumination for liquid crystal displays (LCDs)</t>
  </si>
  <si>
    <t>CHAPTER 85 - ELECTRICAL MACHINERY AND EQUIPMENT AND PARTS THEREOF; SOUND RECORDERS AND REPRODUCERS, TELEVISION IMAGE AND SOUND RECORDERS AND REPRODUCERS, AND PARTS AND ACCESSORIES OF SUCH ARTICLES: Electrical parts of machinery or apparatus, not specified or included elsewhere in this chapter: Other</t>
  </si>
  <si>
    <t>CHAPTER 85 - ELECTRICAL MACHINERY AND EQUIPMENT AND PARTS THEREOF; SOUND RECORDERS AND REPRODUCERS, TELEVISION IMAGE AND SOUND RECORDERS AND REPRODUCERS, AND PARTS AND ACCESSORIES OF SUCH ARTICLES: Waste and scrap of primary cells, primary batteries and electric accumulators; spent primary cells, spent primary batteries and spent electric accumulators; electrical parts of machinery or apparatus, not specified or included elsewhere in this chapter: Waste and scrap of primary cells, primary batteries and electric accumulators; spent primary cells, spent primary batteries and spent electric accumulators: Spent primary cells, spent primary batteries</t>
  </si>
  <si>
    <t>Waste and scrap of primary cells, primary batteries and electric accumulators; spent primary cells, spent primary batteries and spent electric accumulators</t>
  </si>
  <si>
    <t>CHAPTER 85 - ELECTRICAL MACHINERY AND EQUIPMENT AND PARTS THEREOF; SOUND RECORDERS AND REPRODUCERS, TELEVISION IMAGE AND SOUND RECORDERS AND REPRODUCERS, AND PARTS AND ACCESSORIES OF SUCH ARTICLES: Waste and scrap of primary cells, primary batteries and electric accumulators; spent primary cells, spent primary batteries and spent electric accumulators; electrical parts of machinery or apparatus, not specified or included elsewhere in this chapter: Waste and scrap of primary cells, primary batteries and electric accumulators; spent primary cells, spent primary batteries and spent electric accumulators: Spent electric accumulators: Lead-acid accumulators</t>
  </si>
  <si>
    <t>CHAPTER 85 - ELECTRICAL MACHINERY AND EQUIPMENT AND PARTS THEREOF; SOUND RECORDERS AND REPRODUCERS, TELEVISION IMAGE AND SOUND RECORDERS AND REPRODUCERS, AND PARTS AND ACCESSORIES OF SUCH ARTICLES: Waste and scrap of primary cells, primary batteries and electric accumulators; spent primary cells, spent primary batteries and spent electric accumulators; electrical parts of machinery or apparatus, not specified or included elsewhere in this chapter: Waste and scrap of primary cells, primary batteries and electric accumulators; spent primary cells, spent primary batteries and spent electric accumulators: Spent electric accumulators: Other</t>
  </si>
  <si>
    <t>CHAPTER 85 - ELECTRICAL MACHINERY AND EQUIPMENT AND PARTS THEREOF; SOUND RECORDERS AND REPRODUCERS, TELEVISION IMAGE AND SOUND RECORDERS AND REPRODUCERS, AND PARTS AND ACCESSORIES OF SUCH ARTICLES: Waste and scrap of primary cells, primary batteries and electric accumulators; spent primary cells, spent primary batteries and spent electric accumulators; electrical parts of machinery or apparatus, not specified or included elsewhere in this chapter: Waste and scrap of primary cells, primary batteries and electric accumulators; spent primary cells, spent primary batteries and spent electric accumulators: Waste and scrap of primary cells, primary batteries and electric accumulators: Containing lead</t>
  </si>
  <si>
    <t>CHAPTER 85 - ELECTRICAL MACHINERY AND EQUIPMENT AND PARTS THEREOF; SOUND RECORDERS AND REPRODUCERS, TELEVISION IMAGE AND SOUND RECORDERS AND REPRODUCERS, AND PARTS AND ACCESSORIES OF SUCH ARTICLES: Waste and scrap of primary cells, primary batteries and electric accumulators; spent primary cells, spent primary batteries and spent electric accumulators; electrical parts of machinery or apparatus, not specified or included elsewhere in this chapter: Waste and scrap of primary cells, primary batteries and electric accumulators; spent primary cells, spent primary batteries and spent electric accumulators: Waste and scrap of primary cells, primary batteries and electric accumulators: Other</t>
  </si>
  <si>
    <t>CHAPTER 85 - ELECTRICAL MACHINERY AND EQUIPMENT AND PARTS THEREOF; SOUND RECORDERS AND REPRODUCERS, TELEVISION IMAGE AND SOUND RECORDERS AND REPRODUCERS, AND PARTS AND ACCESSORIES OF SUCH ARTICLES: Waste and scrap of primary cells, primary batteries and electric accumulators; spent primary cells, spent primary batteries and spent electric accumulators; electrical parts of machinery or apparatus, not specified or included elsewhere in this chapter: Other: Memories in multicombinational forms such as stack D-RAMs and modules</t>
  </si>
  <si>
    <t>CHAPTER 85 - ELECTRICAL MACHINERY AND EQUIPMENT AND PARTS THEREOF; SOUND RECORDERS AND REPRODUCERS, TELEVISION IMAGE AND SOUND RECORDERS AND REPRODUCERS, AND PARTS AND ACCESSORIES OF SUCH ARTICLES: Waste and scrap of primary cells, primary batteries and electric accumulators; spent primary cells, spent primary batteries and spent electric accumulators; electrical parts of machinery or apparatus, not specified or included elsewhere in this chapter: Other: Light-emitting diode (LED) backlight modules, which are lighting sources that consist of one or more LEDs, and one or more connectors and are mounted on a printed circuit or other similar substrate, and other passive components, whether or not combined with optical components or protective diodes, and used as backlight illumination for liquid crystal displays (LCDs)</t>
  </si>
  <si>
    <t>CHAPTER 85 - ELECTRICAL MACHINERY AND EQUIPMENT AND PARTS THEREOF; SOUND RECORDERS AND REPRODUCERS, TELEVISION IMAGE AND SOUND RECORDERS AND REPRODUCERS, AND PARTS AND ACCESSORIES OF SUCH ARTICLES: Waste and scrap of primary cells, primary batteries and electric accumulators; spent primary cells, spent primary batteries and spent electric accumulators; electrical parts of machinery or apparatus, not specified or included elsewhere in this chapter: Other: Other</t>
  </si>
  <si>
    <t>CHAPTER 85 - ELECTRICAL MACHINERY AND EQUIPMENT AND PARTS THEREOF; SOUND RECORDERS AND REPRODUCERS, TELEVISION IMAGE AND SOUND RECORDERS AND REPRODUCERS, AND PARTS AND ACCESSORIES OF SUCH ARTICLES: Electrical and electronic waste and scrap: Waste and scrap of primary cells, primary batteries and electric accumulators; spent primary cells, spent primary batteries and spent electric accumulators: Waste and scrap of lead-acid accumulators; spent lead-acid accumulators: Spent lead-acid accumulators</t>
  </si>
  <si>
    <t>Spent lead-acid accumulators</t>
  </si>
  <si>
    <t>Electrical and electronic waste and scrap</t>
  </si>
  <si>
    <t>CHAPTER 85 - ELECTRICAL MACHINERY AND EQUIPMENT AND PARTS THEREOF; SOUND RECORDERS AND REPRODUCERS, TELEVISION IMAGE AND SOUND RECORDERS AND REPRODUCERS, AND PARTS AND ACCESSORIES OF SUCH ARTICLES: Electrical and electronic waste and scrap: Waste and scrap of primary cells, primary batteries and electric accumulators; spent primary cells, spent primary batteries and spent electric accumulators: Waste and scrap of lead-acid accumulators; spent lead-acid accumulators: Waste and scrap of lead-acid accumulators</t>
  </si>
  <si>
    <t>Waste and scrap of lead-acid accumulators</t>
  </si>
  <si>
    <t>CHAPTER 85 - ELECTRICAL MACHINERY AND EQUIPMENT AND PARTS THEREOF; SOUND RECORDERS AND REPRODUCERS, TELEVISION IMAGE AND SOUND RECORDERS AND REPRODUCERS, AND PARTS AND ACCESSORIES OF SUCH ARTICLES: Electrical and electronic waste and scrap: Waste and scrap of primary cells, primary batteries and electric accumulators; spent primary cells, spent primary batteries and spent electric accumulators: Other, containing lead, cadmium or mercury: Spent primary cells, spent primary batteries</t>
  </si>
  <si>
    <t>Spent primary cells, spent primary batteries</t>
  </si>
  <si>
    <t>CHAPTER 85 - ELECTRICAL MACHINERY AND EQUIPMENT AND PARTS THEREOF; SOUND RECORDERS AND REPRODUCERS, TELEVISION IMAGE AND SOUND RECORDERS AND REPRODUCERS, AND PARTS AND ACCESSORIES OF SUCH ARTICLES: Electrical and electronic waste and scrap: Waste and scrap of primary cells, primary batteries and electric accumulators; spent primary cells, spent primary batteries and spent electric accumulators: Other, containing lead, cadmium or mercury: Spent electric accumulators</t>
  </si>
  <si>
    <t>Spent electric accumulators</t>
  </si>
  <si>
    <t>CHAPTER 85 - ELECTRICAL MACHINERY AND EQUIPMENT AND PARTS THEREOF; SOUND RECORDERS AND REPRODUCERS, TELEVISION IMAGE AND SOUND RECORDERS AND REPRODUCERS, AND PARTS AND ACCESSORIES OF SUCH ARTICLES: Electrical and electronic waste and scrap: Waste and scrap of primary cells, primary batteries and electric accumulators; spent primary cells, spent primary batteries and spent electric accumulators: Other, containing lead, cadmium or mercury: Other</t>
  </si>
  <si>
    <t>CHAPTER 85 - ELECTRICAL MACHINERY AND EQUIPMENT AND PARTS THEREOF; SOUND RECORDERS AND REPRODUCERS, TELEVISION IMAGE AND SOUND RECORDERS AND REPRODUCERS, AND PARTS AND ACCESSORIES OF SUCH ARTICLES: Electrical and electronic waste and scrap: Waste and scrap of primary cells, primary batteries and electric accumulators; spent primary cells, spent primary batteries and spent electric accumulators: Sorted by chemical type and not containing lead, cadmium or mercury: Spent primary cells, spent primary batteries</t>
  </si>
  <si>
    <t>CHAPTER 85 - ELECTRICAL MACHINERY AND EQUIPMENT AND PARTS THEREOF; SOUND RECORDERS AND REPRODUCERS, TELEVISION IMAGE AND SOUND RECORDERS AND REPRODUCERS, AND PARTS AND ACCESSORIES OF SUCH ARTICLES: Electrical and electronic waste and scrap: Waste and scrap of primary cells, primary batteries and electric accumulators; spent primary cells, spent primary batteries and spent electric accumulators: Sorted by chemical type and not containing lead, cadmium or mercury: Spent electric accumulators</t>
  </si>
  <si>
    <t>CHAPTER 85 - ELECTRICAL MACHINERY AND EQUIPMENT AND PARTS THEREOF; SOUND RECORDERS AND REPRODUCERS, TELEVISION IMAGE AND SOUND RECORDERS AND REPRODUCERS, AND PARTS AND ACCESSORIES OF SUCH ARTICLES: Electrical and electronic waste and scrap: Waste and scrap of primary cells, primary batteries and electric accumulators; spent primary cells, spent primary batteries and spent electric accumulators: Sorted by chemical type and not containing lead, cadmium or mercury: Other</t>
  </si>
  <si>
    <t>CHAPTER 85 - ELECTRICAL MACHINERY AND EQUIPMENT AND PARTS THEREOF; SOUND RECORDERS AND REPRODUCERS, TELEVISION IMAGE AND SOUND RECORDERS AND REPRODUCERS, AND PARTS AND ACCESSORIES OF SUCH ARTICLES: Electrical and electronic waste and scrap: Waste and scrap of primary cells, primary batteries and electric accumulators; spent primary cells, spent primary batteries and spent electric accumulators: Unsorted and not containing lead, cadmium or mercury: Spent primary cells, spent primary batteries</t>
  </si>
  <si>
    <t>CHAPTER 85 - ELECTRICAL MACHINERY AND EQUIPMENT AND PARTS THEREOF; SOUND RECORDERS AND REPRODUCERS, TELEVISION IMAGE AND SOUND RECORDERS AND REPRODUCERS, AND PARTS AND ACCESSORIES OF SUCH ARTICLES: Electrical and electronic waste and scrap: Waste and scrap of primary cells, primary batteries and electric accumulators; spent primary cells, spent primary batteries and spent electric accumulators: Unsorted and not containing lead, cadmium or mercury: Spent electric accumulators</t>
  </si>
  <si>
    <t>CHAPTER 85 - ELECTRICAL MACHINERY AND EQUIPMENT AND PARTS THEREOF; SOUND RECORDERS AND REPRODUCERS, TELEVISION IMAGE AND SOUND RECORDERS AND REPRODUCERS, AND PARTS AND ACCESSORIES OF SUCH ARTICLES: Electrical and electronic waste and scrap: Waste and scrap of primary cells, primary batteries and electric accumulators; spent primary cells, spent primary batteries and spent electric accumulators: Unsorted and not containing lead, cadmium or mercury: Other</t>
  </si>
  <si>
    <t>CHAPTER 85 - ELECTRICAL MACHINERY AND EQUIPMENT AND PARTS THEREOF; SOUND RECORDERS AND REPRODUCERS, TELEVISION IMAGE AND SOUND RECORDERS AND REPRODUCERS, AND PARTS AND ACCESSORIES OF SUCH ARTICLES: Electrical and electronic waste and scrap: Waste and scrap of primary cells, primary batteries and electric accumulators; spent primary cells, spent primary batteries and spent electric accumulators: Other: Spent primary cells, spent primary batteries</t>
  </si>
  <si>
    <t>CHAPTER 85 - ELECTRICAL MACHINERY AND EQUIPMENT AND PARTS THEREOF; SOUND RECORDERS AND REPRODUCERS, TELEVISION IMAGE AND SOUND RECORDERS AND REPRODUCERS, AND PARTS AND ACCESSORIES OF SUCH ARTICLES: Electrical and electronic waste and scrap: Waste and scrap of primary cells, primary batteries and electric accumulators; spent primary cells, spent primary batteries and spent electric accumulators: Other: Spent electric accumulators</t>
  </si>
  <si>
    <t>CHAPTER 85 - ELECTRICAL MACHINERY AND EQUIPMENT AND PARTS THEREOF; SOUND RECORDERS AND REPRODUCERS, TELEVISION IMAGE AND SOUND RECORDERS AND REPRODUCERS, AND PARTS AND ACCESSORIES OF SUCH ARTICLES: Electrical and electronic waste and scrap: Waste and scrap of primary cells, primary batteries and electric accumulators; spent primary cells, spent primary batteries and spent electric accumulators: Other: Other</t>
  </si>
  <si>
    <t>CHAPTER 85 - ELECTRICAL MACHINERY AND EQUIPMENT AND PARTS THEREOF; SOUND RECORDERS AND REPRODUCERS, TELEVISION IMAGE AND SOUND RECORDERS AND REPRODUCERS, AND PARTS AND ACCESSORIES OF SUCH ARTICLES: Electrical and electronic waste and scrap: Of a kind used principally for the recovery of precious metal: Containing primary cells, primary batteries, electric accumulators, mercury-switches, glass from cathode-ray tubes or other activated glass, or electrical or electronic components containing cadmium, mercury, lead or polychlorinated biphenyls (PCBs)</t>
  </si>
  <si>
    <t>Of a kind used principally for the recovery of precious metal: Containing primary cells, primary batteries, electric accumulators, mercury-switches, glass from cathode-ray tubes or other activated glass, or electrical or electronic components containing cadmium, mercury, lead or polychlorinated biphenyls (PCBs)</t>
  </si>
  <si>
    <t>CHAPTER 85 - ELECTRICAL MACHINERY AND EQUIPMENT AND PARTS THEREOF; SOUND RECORDERS AND REPRODUCERS, TELEVISION IMAGE AND SOUND RECORDERS AND REPRODUCERS, AND PARTS AND ACCESSORIES OF SUCH ARTICLES: Electrical and electronic waste and scrap: Of a kind used principally for the recovery of precious metal: Other</t>
  </si>
  <si>
    <t>Of a kind used principally for the recovery of precious metal: Other</t>
  </si>
  <si>
    <t>CHAPTER 85 - ELECTRICAL MACHINERY AND EQUIPMENT AND PARTS THEREOF; SOUND RECORDERS AND REPRODUCERS, TELEVISION IMAGE AND SOUND RECORDERS AND REPRODUCERS, AND PARTS AND ACCESSORIES OF SUCH ARTICLES: Electrical and electronic waste and scrap: Other electrical and electronic assemblies and printed circuit boards: Containing primary cells, primary batteries, electric accumulators, mercury-switches, glass from cathode-ray tubes or other activated glass, or electrical or electronic components containing cadmium, mercury, lead or polychlorinated biphenyls (PCBs)</t>
  </si>
  <si>
    <t>Other electrical and electronic assemblies and printed circuit boards: Containing primary cells, primary batteries, electric accumulators, mercury-switches, glass from cathode-ray tubes or other activated glass, or electrical or electronic components containing cadmium, mercury, lead or polychlorinated biphenyls (PCBs)</t>
  </si>
  <si>
    <t>CHAPTER 85 - ELECTRICAL MACHINERY AND EQUIPMENT AND PARTS THEREOF; SOUND RECORDERS AND REPRODUCERS, TELEVISION IMAGE AND SOUND RECORDERS AND REPRODUCERS, AND PARTS AND ACCESSORIES OF SUCH ARTICLES: Electrical and electronic waste and scrap: Other electrical and electronic assemblies and printed circuit boards: Other</t>
  </si>
  <si>
    <t>Other electrical and electronic assemblies and printed circuit boards: Other</t>
  </si>
  <si>
    <t>CHAPTER 85 - ELECTRICAL MACHINERY AND EQUIPMENT AND PARTS THEREOF; SOUND RECORDERS AND REPRODUCERS, TELEVISION IMAGE AND SOUND RECORDERS AND REPRODUCERS, AND PARTS AND ACCESSORIES OF SUCH ARTICLES: Electrical and electronic waste and scrap: Other: Containing primary cells, primary batteries, electric accumulators, mercury-switches, glass from cathode-ray tubes or other activated glass, or electrical or electronic components containing cadmium, mercury, lead or polychlorinated biphenyls (PCBs)</t>
  </si>
  <si>
    <t>Other: Containing primary cells, primary batteries, electric accumulators, mercury-switches, glass from cathode-ray tubes or other activated glass, or electrical or electronic components containing cadmium, mercury, lead or polychlorinated biphenyls (PCBs)</t>
  </si>
  <si>
    <t>CHAPTER 85 - ELECTRICAL MACHINERY AND EQUIPMENT AND PARTS THEREOF; SOUND RECORDERS AND REPRODUCERS, TELEVISION IMAGE AND SOUND RECORDERS AND REPRODUCERS, AND PARTS AND ACCESSORIES OF SUCH ARTICLES: Electrical and electronic waste and scrap: Other: Other</t>
  </si>
  <si>
    <t>CHAPTER 87 - VEHICLES OTHER THAN RAILWAY OR TRAMWAY ROLLING STOCK, AND PARTS AND ACCESSORIES THEREOF: Tractors (other than tractors of heading 8709): Road tractors for semi-trailers: New</t>
  </si>
  <si>
    <t>CHAPTER 87 - VEHICLES OTHER THAN RAILWAY OR TRAMWAY ROLLING STOCK, AND PARTS AND ACCESSORIES THEREOF</t>
  </si>
  <si>
    <t>Tractors (other than tractors of heading 8709)</t>
  </si>
  <si>
    <t>Road tractors for semi-trailers</t>
  </si>
  <si>
    <t>CHAPTER 87 - VEHICLES OTHER THAN RAILWAY OR TRAMWAY ROLLING STOCK, AND PARTS AND ACCESSORIES THEREOF: Tractors (other than tractors of heading 8709): Road tractors for semi-trailers: Used</t>
  </si>
  <si>
    <t>CHAPTER 87 - VEHICLES OTHER THAN RAILWAY OR TRAMWAY ROLLING STOCK, AND PARTS AND ACCESSORIES THEREOF: Tractors (other than tractors of heading 8709): Road tractors for semi-trailers: With only compression-ignition internal combustion piston engine (diesel or semi-diesel): New</t>
  </si>
  <si>
    <t>CHAPTER 87 - VEHICLES OTHER THAN RAILWAY OR TRAMWAY ROLLING STOCK, AND PARTS AND ACCESSORIES THEREOF: Tractors (other than tractors of heading 8709): Road tractors for semi-trailers: With only compression-ignition internal combustion piston engine (diesel or semi-diesel): Used</t>
  </si>
  <si>
    <t>Used</t>
  </si>
  <si>
    <t>CHAPTER 87 - VEHICLES OTHER THAN RAILWAY OR TRAMWAY ROLLING STOCK, AND PARTS AND ACCESSORIES THEREOF: Tractors (other than tractors of heading 8709): Road tractors for semi-trailers: With both compression-ignition internal combustion piston engine (diesel or semi-diesel) and electric motor as motors for propulsion: New</t>
  </si>
  <si>
    <t>CHAPTER 87 - VEHICLES OTHER THAN RAILWAY OR TRAMWAY ROLLING STOCK, AND PARTS AND ACCESSORIES THEREOF: Tractors (other than tractors of heading 8709): Road tractors for semi-trailers: With both compression-ignition internal combustion piston engine (diesel or semi-diesel) and electric motor as motors for propulsion: Used</t>
  </si>
  <si>
    <t>CHAPTER 87 - VEHICLES OTHER THAN RAILWAY OR TRAMWAY ROLLING STOCK, AND PARTS AND ACCESSORIES THEREOF: Tractors (other than tractors of heading 8709): Road tractors for semi-trailers: With both spark-ignition internal combustion piston engine and electric motor as motors for propulsion: New</t>
  </si>
  <si>
    <t>CHAPTER 87 - VEHICLES OTHER THAN RAILWAY OR TRAMWAY ROLLING STOCK, AND PARTS AND ACCESSORIES THEREOF: Tractors (other than tractors of heading 8709): Road tractors for semi-trailers: With both spark-ignition internal combustion piston engine and electric motor as motors for propulsion: Used</t>
  </si>
  <si>
    <t>CHAPTER 87 - VEHICLES OTHER THAN RAILWAY OR TRAMWAY ROLLING STOCK, AND PARTS AND ACCESSORIES THEREOF: Tractors (other than tractors of heading 8709): Road tractors for semi-trailers: With only electric motor for propulsion: New</t>
  </si>
  <si>
    <t>CHAPTER 87 - VEHICLES OTHER THAN RAILWAY OR TRAMWAY ROLLING STOCK, AND PARTS AND ACCESSORIES THEREOF: Tractors (other than tractors of heading 8709): Road tractors for semi-trailers: With only electric motor for propulsion: Used</t>
  </si>
  <si>
    <t>CHAPTER 87 - VEHICLES OTHER THAN RAILWAY OR TRAMWAY ROLLING STOCK, AND PARTS AND ACCESSORIES THEREOF: Tractors (other than tractors of heading 8709): Road tractors for semi-trailers: Other</t>
  </si>
  <si>
    <t>Road tractors for semi-trailers: Other</t>
  </si>
  <si>
    <t>CHAPTER 87 - VEHICLES OTHER THAN RAILWAY OR TRAMWAY ROLLING STOCK, AND PARTS AND ACCESSORIES THEREOF: Motor vehicles for the transport of goods: Other, with both compression-ignition internal combustion piston engine (diesel or semi-diesel) and electric motor as motors for propulsion: Of a gross vehicle weight not exceeding 5 tonnes: Specially designed for the transport of highly radioactive materials (Euratom)</t>
  </si>
  <si>
    <t>Specially designed for the transport of highly radioactive materials (Euratom)</t>
  </si>
  <si>
    <t>Motor vehicles for the transport of goods</t>
  </si>
  <si>
    <t>CHAPTER 87 - VEHICLES OTHER THAN RAILWAY OR TRAMWAY ROLLING STOCK, AND PARTS AND ACCESSORIES THEREOF: Motor vehicles for the transport of goods: Other, with both compression-ignition internal combustion piston engine (diesel or semi-diesel) and electric motor as motors for propulsion: Of a gross vehicle weight not exceeding 5 tonnes: Other: With engines of a cylinder capacity exceeding 2500 cm³: New</t>
  </si>
  <si>
    <t>Other: With engines of a cylinder capacity exceeding 2500 cm³: New</t>
  </si>
  <si>
    <t>CHAPTER 87 - VEHICLES OTHER THAN RAILWAY OR TRAMWAY ROLLING STOCK, AND PARTS AND ACCESSORIES THEREOF: Motor vehicles for the transport of goods: Other, with both compression-ignition internal combustion piston engine (diesel or semi-diesel) and electric motor as motors for propulsion: Of a gross vehicle weight not exceeding 5 tonnes: Other: With engines of a cylinder capacity exceeding 2500 cm³: Used</t>
  </si>
  <si>
    <t>Other: With engines of a cylinder capacity exceeding 2500 cm³: Used</t>
  </si>
  <si>
    <t>CHAPTER 87 - VEHICLES OTHER THAN RAILWAY OR TRAMWAY ROLLING STOCK, AND PARTS AND ACCESSORIES THEREOF: Motor vehicles for the transport of goods: Other, with both compression-ignition internal combustion piston engine (diesel or semi-diesel) and electric motor as motors for propulsion: Of a gross vehicle weight not exceeding 5 tonnes: Other: With engines of a cylinder capacity not exceeding 2500 cm³: New</t>
  </si>
  <si>
    <t>Other: With engines of a cylinder capacity not exceeding 2500 cm³: New</t>
  </si>
  <si>
    <t>CHAPTER 87 - VEHICLES OTHER THAN RAILWAY OR TRAMWAY ROLLING STOCK, AND PARTS AND ACCESSORIES THEREOF: Motor vehicles for the transport of goods: Other, with both compression-ignition internal combustion piston engine (diesel or semi-diesel) and electric motor as motors for propulsion: Of a gross vehicle weight not exceeding 5 tonnes: Other: With engines of a cylinder capacity not exceeding 2500 cm³: Used</t>
  </si>
  <si>
    <t>Other: With engines of a cylinder capacity not exceeding 2500 cm³: Used</t>
  </si>
  <si>
    <t>CHAPTER 87 - VEHICLES OTHER THAN RAILWAY OR TRAMWAY ROLLING STOCK, AND PARTS AND ACCESSORIES THEREOF: Motor vehicles for the transport of goods: Other, with both compression-ignition internal combustion piston engine (diesel or semi-diesel) and electric motor as motors for propulsion: Of a gross vehicle weight exceeding 5 tonnes but not exceeding 20 tonnes: Specially designed for the transport of highly radioactive materials (Euratom)</t>
  </si>
  <si>
    <t>CHAPTER 87 - VEHICLES OTHER THAN RAILWAY OR TRAMWAY ROLLING STOCK, AND PARTS AND ACCESSORIES THEREOF: Motor vehicles for the transport of goods: Other, with both compression-ignition internal combustion piston engine (diesel or semi-diesel) and electric motor as motors for propulsion: Of a gross vehicle weight exceeding 5 tonnes but not exceeding 20 tonnes: Other: New</t>
  </si>
  <si>
    <t>Other: New</t>
  </si>
  <si>
    <t>CHAPTER 87 - VEHICLES OTHER THAN RAILWAY OR TRAMWAY ROLLING STOCK, AND PARTS AND ACCESSORIES THEREOF: Motor vehicles for the transport of goods: Other, with both compression-ignition internal combustion piston engine (diesel or semi-diesel) and electric motor as motors for propulsion: Of a gross vehicle weight exceeding 5 tonnes but not exceeding 20 tonnes: Other: Used</t>
  </si>
  <si>
    <t>Other: Used</t>
  </si>
  <si>
    <t>CHAPTER 87 - VEHICLES OTHER THAN RAILWAY OR TRAMWAY ROLLING STOCK, AND PARTS AND ACCESSORIES THEREOF: Motor vehicles for the transport of goods: Other, with both compression-ignition internal combustion piston engine (diesel or semi-diesel) and electric motor as motors for propulsion: Of a gross vehicle weight exceeding 20 tonnes: Specially designed for the transport of highly radioactive materials (Euratom)</t>
  </si>
  <si>
    <t>CHAPTER 87 - VEHICLES OTHER THAN RAILWAY OR TRAMWAY ROLLING STOCK, AND PARTS AND ACCESSORIES THEREOF: Motor vehicles for the transport of goods: Other, with both compression-ignition internal combustion piston engine (diesel or semi-diesel) and electric motor as motors for propulsion: Of a gross vehicle weight exceeding 20 tonnes: Other: New</t>
  </si>
  <si>
    <t>CHAPTER 87 - VEHICLES OTHER THAN RAILWAY OR TRAMWAY ROLLING STOCK, AND PARTS AND ACCESSORIES THEREOF: Motor vehicles for the transport of goods: Other, with both compression-ignition internal combustion piston engine (diesel or semi-diesel) and electric motor as motors for propulsion: Of a gross vehicle weight exceeding 20 tonnes: Other: Used</t>
  </si>
  <si>
    <t>CHAPTER 87 - VEHICLES OTHER THAN RAILWAY OR TRAMWAY ROLLING STOCK, AND PARTS AND ACCESSORIES THEREOF: Motor vehicles for the transport of goods: Other, with both spark-ignition internal combustion piston engine and electric motor as motors for propulsion: Of a gross vehicle weight not exceeding 5 tonnes: Specially designed for the transport of highly radioactive materials (Euratom)</t>
  </si>
  <si>
    <t>CHAPTER 87 - VEHICLES OTHER THAN RAILWAY OR TRAMWAY ROLLING STOCK, AND PARTS AND ACCESSORIES THEREOF: Motor vehicles for the transport of goods: Other, with both spark-ignition internal combustion piston engine and electric motor as motors for propulsion: Of a gross vehicle weight not exceeding 5 tonnes: Other: With engines of a cylinder capacity exceeding 2800 cm³: New</t>
  </si>
  <si>
    <t>Other: With engines of a cylinder capacity exceeding 2800 cm³: New</t>
  </si>
  <si>
    <t>CHAPTER 87 - VEHICLES OTHER THAN RAILWAY OR TRAMWAY ROLLING STOCK, AND PARTS AND ACCESSORIES THEREOF: Motor vehicles for the transport of goods: Other, with both spark-ignition internal combustion piston engine and electric motor as motors for propulsion: Of a gross vehicle weight not exceeding 5 tonnes: Other: With engines of a cylinder capacity exceeding 2800 cm³: Used</t>
  </si>
  <si>
    <t>Other: With engines of a cylinder capacity exceeding 2800 cm³: Used</t>
  </si>
  <si>
    <t>CHAPTER 87 - VEHICLES OTHER THAN RAILWAY OR TRAMWAY ROLLING STOCK, AND PARTS AND ACCESSORIES THEREOF: Motor vehicles for the transport of goods: Other, with both spark-ignition internal combustion piston engine and electric motor as motors for propulsion: Of a gross vehicle weight not exceeding 5 tonnes: Other: With engines of a cylinder capacity not exceeding 2800 cm³: New</t>
  </si>
  <si>
    <t>Other: With engines of a cylinder capacity not exceeding 2800 cm³: New</t>
  </si>
  <si>
    <t>CHAPTER 87 - VEHICLES OTHER THAN RAILWAY OR TRAMWAY ROLLING STOCK, AND PARTS AND ACCESSORIES THEREOF: Motor vehicles for the transport of goods: Other, with both spark-ignition internal combustion piston engine and electric motor as motors for propulsion: Of a gross vehicle weight not exceeding 5 tonnes: Other: With engines of a cylinder capacity not exceeding 2800 cm³: Used</t>
  </si>
  <si>
    <t>Other: With engines of a cylinder capacity not exceeding 2800 cm³: Used</t>
  </si>
  <si>
    <t>CHAPTER 87 - VEHICLES OTHER THAN RAILWAY OR TRAMWAY ROLLING STOCK, AND PARTS AND ACCESSORIES THEREOF: Motor vehicles for the transport of goods: Other, with both spark-ignition internal combustion piston engine and electric motor as motors for propulsion: Of a gross vehicle weight exceeding 5 tonnes: Specially designed for the transport of highly radioactive materials (Euratom)</t>
  </si>
  <si>
    <t>CHAPTER 87 - VEHICLES OTHER THAN RAILWAY OR TRAMWAY ROLLING STOCK, AND PARTS AND ACCESSORIES THEREOF: Motor vehicles for the transport of goods: Other, with both spark-ignition internal combustion piston engine and electric motor as motors for propulsion: Of a gross vehicle weight exceeding 5 tonnes: Other: New</t>
  </si>
  <si>
    <t>CHAPTER 87 - VEHICLES OTHER THAN RAILWAY OR TRAMWAY ROLLING STOCK, AND PARTS AND ACCESSORIES THEREOF: Motor vehicles for the transport of goods: Other, with both spark-ignition internal combustion piston engine and electric motor as motors for propulsion: Of a gross vehicle weight exceeding 5 tonnes: Other: Used</t>
  </si>
  <si>
    <t>CHAPTER 87 - VEHICLES OTHER THAN RAILWAY OR TRAMWAY ROLLING STOCK, AND PARTS AND ACCESSORIES THEREOF: Motor vehicles for the transport of goods: Other with only electric motor for propulsion</t>
  </si>
  <si>
    <t>Other with only electric motor for propulsion</t>
  </si>
  <si>
    <t>CHAPTER 87 - VEHICLES OTHER THAN RAILWAY OR TRAMWAY ROLLING STOCK, AND PARTS AND ACCESSORIES THEREOF: Parts and accessories of the motor vehicles of headings 8701 to 8705: Other parts and accessories of bodies (including cabs): Front windscreens (windshields), rear windows and other windows specified in subheading note 1 to this chapter: For the industrial assembly of:Pedestrian-controlled tractors of subheading 870110;Vehicles of heading 8703;Vehicles of heading 8704 with either a compression-ignition internal combustion piston engine (diesel or semi-diesel) of a cylinder capacity not exceeding 2500 cm³ or with a spark-ignition internal combustion piston engine of a cylinder capacity not exceeding 2800 cm³;Vehicles of heading 8705</t>
  </si>
  <si>
    <t>For the industrial assembly of:Pedestrian-controlled tractors of subheading 870110;Vehicles of heading 8703;Vehicles of heading 8704 with either a compression-ignition internal combustion piston engine (diesel or semi-diesel) of a cylinder capacity not exceeding 2500 cm³ or with a spark-ignition internal combustion piston engine of a cylinder capacity not exceeding 2800 cm³;Vehicles of heading 8705</t>
  </si>
  <si>
    <t>Parts and accessories of the motor vehicles of headings 8701 to 8705</t>
  </si>
  <si>
    <t>Other parts and accessories of bodies (including cabs) :</t>
  </si>
  <si>
    <t>CHAPTER 87 - VEHICLES OTHER THAN RAILWAY OR TRAMWAY ROLLING STOCK, AND PARTS AND ACCESSORIES THEREOF: Parts and accessories of the motor vehicles of headings 8701 to 8705: Other parts and accessories of bodies (including cabs): Front windscreens (windshields), rear windows and other windows specified in subheading note 1 to this chapter: Other</t>
  </si>
  <si>
    <t>CHAPTER 88 - AIRCRAFT, SPACECRAFT, AND PARTS THEREOF: Parts of goods of heading 8801 or 8802: Propellers and rotors and parts thereof</t>
  </si>
  <si>
    <t>CHAPTER 88 - AIRCRAFT, SPACECRAFT, AND PARTS THEREOF</t>
  </si>
  <si>
    <t>Propellers and rotors and parts thereof</t>
  </si>
  <si>
    <t>CHAPTER 88 - AIRCRAFT, SPACECRAFT, AND PARTS THEREOF: Parts of goods of heading 8801 or 8802: Undercarriages and parts thereof</t>
  </si>
  <si>
    <t>Under-carriages and parts thereof</t>
  </si>
  <si>
    <t>CHAPTER 88 - AIRCRAFT, SPACECRAFT, AND PARTS THEREOF: Parts of goods of heading 8801 or 8802: Other parts of aeroplanes or helicopters</t>
  </si>
  <si>
    <t>Other parts of aeroplanes or helicopters</t>
  </si>
  <si>
    <t>CHAPTER 88 - AIRCRAFT, SPACECRAFT, AND PARTS THEREOF: Parts of goods of heading 8801 or 8802: Other: Of kites</t>
  </si>
  <si>
    <t>CHAPTER 88 - AIRCRAFT, SPACECRAFT, AND PARTS THEREOF: Parts of goods of heading 8801 or 8802: Other: Of spacecraft (including satellites): Of telecommunication satellites</t>
  </si>
  <si>
    <t>CHAPTER 88 - AIRCRAFT, SPACECRAFT, AND PARTS THEREOF: Parts of goods of heading 8801 or 8802: Other: Of spacecraft (including satellites): Other</t>
  </si>
  <si>
    <t>CHAPTER 88 - AIRCRAFT, SPACECRAFT, AND PARTS THEREOF: Parts of goods of heading 8801 or 8802: Other: Of suborbital and spacecraft launch vehicles</t>
  </si>
  <si>
    <t>CHAPTER 88 - AIRCRAFT, SPACECRAFT, AND PARTS THEREOF: Parts of goods of heading 8801 or 8802: Other: Other</t>
  </si>
  <si>
    <t>CHAPTER 88 - AIRCRAFT, SPACECRAFT, AND PARTS THEREOF: Unmanned aircraft: Designed for the carriage of passengers: Of an unladen weight not exceeding 2000 kg</t>
  </si>
  <si>
    <t>Of an unladen weight not exceeding 2000 kg</t>
  </si>
  <si>
    <t>Unmanned aircraft</t>
  </si>
  <si>
    <t>CHAPTER 88 - AIRCRAFT, SPACECRAFT, AND PARTS THEREOF: Unmanned aircraft: Designed for the carriage of passengers: Of an unladen weight exceeding 2000 kg</t>
  </si>
  <si>
    <t>Of an unladen weight exceeding 2000 kg</t>
  </si>
  <si>
    <t>CHAPTER 88 - AIRCRAFT, SPACECRAFT, AND PARTS THEREOF: Unmanned aircraft: Other, for remote-controlled flight only: With maximum take-off weight not more than 250 g: Multi rotors, equipped with permanently integrated apparatus of subheading 852589 for capturing and recording video and still images</t>
  </si>
  <si>
    <t>Multi rotors, equipped with permanently integrated apparatus of subheading 852589 for capturing and recording video and still images</t>
  </si>
  <si>
    <t>CHAPTER 88 - AIRCRAFT, SPACECRAFT, AND PARTS THEREOF: Unmanned aircraft: Other, for remote-controlled flight only: With maximum take-off weight not more than 250 g: Other</t>
  </si>
  <si>
    <t>CHAPTER 88 - AIRCRAFT, SPACECRAFT, AND PARTS THEREOF: Unmanned aircraft: Other, for remote-controlled flight only: With maximum take-off weight more than 250 g but not more than 7 kg: Multi rotors, equipped with permanently integrated apparatus of subheading 852589 for capturing and recording video and still images</t>
  </si>
  <si>
    <t>CHAPTER 88 - AIRCRAFT, SPACECRAFT, AND PARTS THEREOF: Unmanned aircraft: Other, for remote-controlled flight only: With maximum take-off weight more than 250 g but not more than 7 kg: Other</t>
  </si>
  <si>
    <t>CHAPTER 88 - AIRCRAFT, SPACECRAFT, AND PARTS THEREOF: Unmanned aircraft: Other, for remote-controlled flight only: With maximum take-off weight more than 7 kg but not more than 25 kg</t>
  </si>
  <si>
    <t>Other, for remote-controlled flight only: With maximum take-off weight more than 7 kg but not more than 25 kg</t>
  </si>
  <si>
    <t>CHAPTER 88 - AIRCRAFT, SPACECRAFT, AND PARTS THEREOF: Unmanned aircraft: Other, for remote-controlled flight only: With maximum take-off weight more than 25 kg but not more than 150 kg</t>
  </si>
  <si>
    <t>Other, for remote-controlled flight only: With maximum take-off weight more than 25 kg but not more than 150 kg</t>
  </si>
  <si>
    <t>CHAPTER 88 - AIRCRAFT, SPACECRAFT, AND PARTS THEREOF: Unmanned aircraft: Other, for remote-controlled flight only: Other: Of an unladen weight not exceeding 2 000 kg</t>
  </si>
  <si>
    <t>Of an unladen weight not exceeding 2 000 kg</t>
  </si>
  <si>
    <t>CHAPTER 88 - AIRCRAFT, SPACECRAFT, AND PARTS THEREOF: Unmanned aircraft: Other, for remote-controlled flight only: Other: Of an unladen weight exceeding 2 000 kg</t>
  </si>
  <si>
    <t>Of an unladen weight exceeding 2 000 kg</t>
  </si>
  <si>
    <t>CHAPTER 88 - AIRCRAFT, SPACECRAFT, AND PARTS THEREOF: Unmanned aircraft: Other: With maximum take-off weight not more than 250 g</t>
  </si>
  <si>
    <t>Other: With maximum take-off weight not more than 250 g</t>
  </si>
  <si>
    <t>CHAPTER 88 - AIRCRAFT, SPACECRAFT, AND PARTS THEREOF: Unmanned aircraft: Other: With maximum take-off weight more than 250 g but not more than 7 kg</t>
  </si>
  <si>
    <t>Other: With maximum take-off weight more than 250 g but not more than 7 kg</t>
  </si>
  <si>
    <t>CHAPTER 88 - AIRCRAFT, SPACECRAFT, AND PARTS THEREOF: Unmanned aircraft: Other: With maximum take-off weight more than 7 kg but not more than 25 kg</t>
  </si>
  <si>
    <t>Other: With maximum take-off weight more than 7 kg but not more than 25 kg</t>
  </si>
  <si>
    <t>CHAPTER 88 - AIRCRAFT, SPACECRAFT, AND PARTS THEREOF: Unmanned aircraft: Other: With maximum take-off weight more than 25 kg but not more than 150 kg</t>
  </si>
  <si>
    <t>Other: With maximum take-off weight more than 25 kg but not more than 150 kg</t>
  </si>
  <si>
    <t>CHAPTER 88 - AIRCRAFT, SPACECRAFT, AND PARTS THEREOF: Unmanned aircraft: Other: Other: Of an unladen weight not exceeding 2 000 kg</t>
  </si>
  <si>
    <t>CHAPTER 88 - AIRCRAFT, SPACECRAFT, AND PARTS THEREOF: Unmanned aircraft: Other: Other: Of an unladen weight exceeding 2 000 kg</t>
  </si>
  <si>
    <t>CHAPTER 88 - AIRCRAFT, SPACECRAFT, AND PARTS THEREOF: Parts of goods of heading 8801, 8802 or 8806: Propellers and rotors and parts thereof</t>
  </si>
  <si>
    <t>Parts of goods of heading 8801, 8802 or 8806</t>
  </si>
  <si>
    <t>CHAPTER 88 - AIRCRAFT, SPACECRAFT, AND PARTS THEREOF: Parts of goods of heading 8801, 8802 or 8806: Under-carriages and parts thereof</t>
  </si>
  <si>
    <t>CHAPTER 88 - AIRCRAFT, SPACECRAFT, AND PARTS THEREOF: Parts of goods of heading 8801, 8802 or 8806: Other parts of aeroplanes, helicopters or unmanned aircraft</t>
  </si>
  <si>
    <t>Other parts of aeroplanes, helicopters or unmanned aircraft</t>
  </si>
  <si>
    <t>CHAPTER 88 - AIRCRAFT, SPACECRAFT, AND PARTS THEREOF: Parts of goods of heading 8801, 8802 or 8806: Other: Of kites</t>
  </si>
  <si>
    <t>Of kites</t>
  </si>
  <si>
    <t>CHAPTER 88 - AIRCRAFT, SPACECRAFT, AND PARTS THEREOF: Parts of goods of heading 8801, 8802 or 8806: Other: Of spacecraft (including satellites): Of telecommunication satellites</t>
  </si>
  <si>
    <t>Of spacecraft (including satellites): Of telecommunication satellites</t>
  </si>
  <si>
    <t>CHAPTER 88 - AIRCRAFT, SPACECRAFT, AND PARTS THEREOF: Parts of goods of heading 8801, 8802 or 8806: Other: Of spacecraft (including satellites): Other</t>
  </si>
  <si>
    <t>Of spacecraft (including satellites): Other</t>
  </si>
  <si>
    <t>CHAPTER 88 - AIRCRAFT, SPACECRAFT, AND PARTS THEREOF: Parts of goods of heading 8801, 8802 or 8806: Other: Of suborbital and spacecraft launch vehicles</t>
  </si>
  <si>
    <t>Of suborbital and spacecraft launch vehicles</t>
  </si>
  <si>
    <t>CHAPTER 88 - AIRCRAFT, SPACECRAFT, AND PARTS THEREOF: Parts of goods of heading 8801, 8802 or 8806: Other: Other</t>
  </si>
  <si>
    <t>CHAPTER 89 - SHIPS, BOATS AND FLOATING STRUCTURES: Yachts and other vessels for pleasure or sports; rowing boats and canoes: Inflatable: Of a weight not exceeding 100 kg each</t>
  </si>
  <si>
    <t>CHAPTER 89 - SHIPS, BOATS AND FLOATING STRUCTURES</t>
  </si>
  <si>
    <t>Yachts and other vessels for pleasure or sports; rowing boats and canoes</t>
  </si>
  <si>
    <t>Inflatable</t>
  </si>
  <si>
    <t>CHAPTER 89 - SHIPS, BOATS AND FLOATING STRUCTURES: Yachts and other vessels for pleasure or sports; rowing boats and canoes: Inflatable: Other</t>
  </si>
  <si>
    <t>CHAPTER 89 - SHIPS, BOATS AND FLOATING STRUCTURES: Yachts and other vessels for pleasure or sports; rowing boats and canoes: Inflatable (including rigid hull inflatable) boats: Fitted or designed to be fitted with a motor, unladen (net) weight (excluding the motor) not exceeding 100 kg</t>
  </si>
  <si>
    <t>Inflatable (including rigid hull inflatable) boats: Fitted or designed to be fitted with a motor, unladen (net) weight (excluding the motor) not exceeding 100 kg</t>
  </si>
  <si>
    <t>CHAPTER 89 - SHIPS, BOATS AND FLOATING STRUCTURES: Yachts and other vessels for pleasure or sports; rowing boats and canoes: Inflatable (including rigid hull inflatable) boats: Not designed for use with a motor and unladen (net) weight not exceeding 100 kg</t>
  </si>
  <si>
    <t>Inflatable (including rigid hull inflatable) boats: Not designed for use with a motor and unladen (net) weight not exceeding 100 kg</t>
  </si>
  <si>
    <t>CHAPTER 89 - SHIPS, BOATS AND FLOATING STRUCTURES: Yachts and other vessels for pleasure or sports; rowing boats and canoes: Inflatable (including rigid hull inflatable) boats: Other</t>
  </si>
  <si>
    <t>Inflatable (including rigid hull inflatable) boats: Other</t>
  </si>
  <si>
    <t>CHAPTER 89 - SHIPS, BOATS AND FLOATING STRUCTURES: Yachts and other vessels for pleasure or sports; rowing boats and canoes: Sailboats, other than inflatable, with or without auxiliary motor: Of a length not exceeding 7,5 m</t>
  </si>
  <si>
    <t>Sailboats, other than inflatable, with or without auxiliary motor: Of a length not exceeding 7,5 m</t>
  </si>
  <si>
    <t>CHAPTER 89 - SHIPS, BOATS AND FLOATING STRUCTURES: Yachts and other vessels for pleasure or sports; rowing boats and canoes: Sailboats, other than inflatable, with or without auxiliary motor: Of a length exceeding 7,5 m but not exceeding 24 m: Seagoing</t>
  </si>
  <si>
    <t>Seagoing</t>
  </si>
  <si>
    <t>CHAPTER 89 - SHIPS, BOATS AND FLOATING STRUCTURES: Yachts and other vessels for pleasure or sports; rowing boats and canoes: Sailboats, other than inflatable, with or without auxiliary motor: Of a length exceeding 7,5 m but not exceeding 24 m: Other</t>
  </si>
  <si>
    <t>CHAPTER 89 - SHIPS, BOATS AND FLOATING STRUCTURES: Yachts and other vessels for pleasure or sports; rowing boats and canoes: Sailboats, other than inflatable, with or without auxiliary motor: Of a length exceeding 24 m: Seagoing</t>
  </si>
  <si>
    <t>CHAPTER 89 - SHIPS, BOATS AND FLOATING STRUCTURES: Yachts and other vessels for pleasure or sports; rowing boats and canoes: Sailboats, other than inflatable, with or without auxiliary motor: Of a length exceeding 24 m: Other</t>
  </si>
  <si>
    <t>CHAPTER 89 - SHIPS, BOATS AND FLOATING STRUCTURES: Yachts and other vessels for pleasure or sports; rowing boats and canoes: Motorboats, other than inflatable, not including outboard motorboats: Of a length not exceeding 7,5 m</t>
  </si>
  <si>
    <t>Motorboats, other than inflatable, not including outboard motorboats: Of a length not exceeding 7,5 m</t>
  </si>
  <si>
    <t>CHAPTER 89 - SHIPS, BOATS AND FLOATING STRUCTURES: Yachts and other vessels for pleasure or sports; rowing boats and canoes: Motorboats, other than inflatable, not including outboard motorboats: Of a length exceeding 7,5 m but not exceeding 24 m: Seagoing</t>
  </si>
  <si>
    <t>CHAPTER 89 - SHIPS, BOATS AND FLOATING STRUCTURES: Yachts and other vessels for pleasure or sports; rowing boats and canoes: Motorboats, other than inflatable, not including outboard motorboats: Of a length exceeding 7,5 m but not exceeding 24 m: Other</t>
  </si>
  <si>
    <t>CHAPTER 89 - SHIPS, BOATS AND FLOATING STRUCTURES: Yachts and other vessels for pleasure or sports; rowing boats and canoes: Motorboats, other than inflatable, not including outboard motorboats: Of a length exceeding 24 m: Seagoing</t>
  </si>
  <si>
    <t>CHAPTER 89 - SHIPS, BOATS AND FLOATING STRUCTURES: Yachts and other vessels for pleasure or sports; rowing boats and canoes: Motorboats, other than inflatable, not including outboard motorboats: Of a length exceeding 24 m: Other</t>
  </si>
  <si>
    <t>CHAPTER 89 - SHIPS, BOATS AND FLOATING STRUCTURES: Yachts and other vessels for pleasure or sports; rowing boats and canoes: Other: Sailboats, with or without auxiliary motor: Seagoing</t>
  </si>
  <si>
    <t>Other :"Sailboats, with or without auxiliary motor</t>
  </si>
  <si>
    <t>CHAPTER 89 - SHIPS, BOATS AND FLOATING STRUCTURES: Yachts and other vessels for pleasure or sports; rowing boats and canoes: Other: Sailboats, with or without auxiliary motor: Other</t>
  </si>
  <si>
    <t>CHAPTER 89 - SHIPS, BOATS AND FLOATING STRUCTURES: Yachts and other vessels for pleasure or sports; rowing boats and canoes: Other: Motor boats, other than outboard motor boats: Seagoing</t>
  </si>
  <si>
    <t>Other :"Motorboats, other than outboard motorboats</t>
  </si>
  <si>
    <t>CHAPTER 89 - SHIPS, BOATS AND FLOATING STRUCTURES: Yachts and other vessels for pleasure or sports; rowing boats and canoes: Other: Motor boats, other than outboard motor boats: Other: Of a length not exceeding 7,5 m</t>
  </si>
  <si>
    <t>CHAPTER 89 - SHIPS, BOATS AND FLOATING STRUCTURES: Yachts and other vessels for pleasure or sports; rowing boats and canoes: Other: Motor boats, other than outboard motor boats: Other: Of a length exceeding 7,5 m</t>
  </si>
  <si>
    <t>CHAPTER 89 - SHIPS, BOATS AND FLOATING STRUCTURES: Yachts and other vessels for pleasure or sports; rowing boats and canoes: Other: Of a length not exceeding 7,5 m: Of a weight not exceeding 100 kg each</t>
  </si>
  <si>
    <t>Of a weight not exceeding 100 kg each</t>
  </si>
  <si>
    <t>CHAPTER 89 - SHIPS, BOATS AND FLOATING STRUCTURES: Yachts and other vessels for pleasure or sports; rowing boats and canoes: Other: Of a length not exceeding 7,5 m: Other</t>
  </si>
  <si>
    <t>CHAPTER 89 - SHIPS, BOATS AND FLOATING STRUCTURES: Yachts and other vessels for pleasure or sports; rowing boats and canoes: Other: Other: Other: Of a length not exceeding 7,5 m</t>
  </si>
  <si>
    <t>CHAPTER 90 - OPTICAL, PHOTOGRAPHIC, CINEMATOGRAPHIC, MEASURING, CHECKING, PRECISION, MEDICAL OR SURGICAL INSTRUMENTS AND APPARATUS; PARTS AND ACCESSORIES THEREOF: Photographic (other than cinematographic) cameras; photographic flashlight apparatus and flashbulbs other than discharge lamps of heading 8539: Other cameras: With a through-the-lens viewfinder (single lens reflex (SLR)), for roll film of a width not exceeding 35 mm</t>
  </si>
  <si>
    <t>CHAPTER 90 - OPTICAL, PHOTOGRAPHIC, CINEMATOGRAPHIC, MEASURING, CHECKING, PRECISION, MEDICAL OR SURGICAL INSTRUMENTS AND APPARATUS; PARTS AND ACCESSORIES THEREOF</t>
  </si>
  <si>
    <t>Photographic (other than cinematographic) cameras; photographic flashlight apparatus and flashbulbs other than discharge lamps of heading 8539</t>
  </si>
  <si>
    <t>Other cameras :"With a through-the-lens viewfinder (single lens reflex (SLR)), for roll film of a width not exceeding 35 mm</t>
  </si>
  <si>
    <t>CHAPTER 90 - OPTICAL, PHOTOGRAPHIC, CINEMATOGRAPHIC, MEASURING, CHECKING, PRECISION, MEDICAL OR SURGICAL INSTRUMENTS AND APPARATUS; PARTS AND ACCESSORIES THEREOF: Photographic (other than cinematographic) cameras; photographic flashlight apparatus and flashbulbs other than discharge lamps of heading 8539: Other cameras: Other, for roll film of a width less than 35 mm</t>
  </si>
  <si>
    <t>Other cameras :"Other, for roll film of a width less than 35 mm</t>
  </si>
  <si>
    <t>CHAPTER 90 - OPTICAL, PHOTOGRAPHIC, CINEMATOGRAPHIC, MEASURING, CHECKING, PRECISION, MEDICAL OR SURGICAL INSTRUMENTS AND APPARATUS; PARTS AND ACCESSORIES THEREOF: Lasers, other than laser diodes; other optical appliances and instruments, not specified or included elsewhere in this chapter: Other devices, appliances and instruments</t>
  </si>
  <si>
    <t>Other devices, appliances and instruments</t>
  </si>
  <si>
    <t>Lasers, other than laser diodes; other optical appliances and instruments, not specified or included elsewhere in this chapter</t>
  </si>
  <si>
    <t>CHAPTER 90 - OPTICAL, PHOTOGRAPHIC, CINEMATOGRAPHIC, MEASURING, CHECKING, PRECISION, MEDICAL OR SURGICAL INSTRUMENTS AND APPARATUS; PARTS AND ACCESSORIES THEREOF: Liquid crystal devices not constituting articles provided for more specifically in other headings; lasers, other than laser diodes; other optical appliances and instruments, not specified or included elsewhere in this chapter: Other devices, appliances and instruments: Liquid crystal devices: Active matrix liquid crystal devices</t>
  </si>
  <si>
    <t>CHAPTER 90 - OPTICAL, PHOTOGRAPHIC, CINEMATOGRAPHIC, MEASURING, CHECKING, PRECISION, MEDICAL OR SURGICAL INSTRUMENTS AND APPARATUS; PARTS AND ACCESSORIES THEREOF: Liquid crystal devices not constituting articles provided for more specifically in other headings; lasers, other than laser diodes; other optical appliances and instruments, not specified or included elsewhere in this chapter: Other devices, appliances and instruments: Liquid crystal devices: Other</t>
  </si>
  <si>
    <t>CHAPTER 90 - OPTICAL, PHOTOGRAPHIC, CINEMATOGRAPHIC, MEASURING, CHECKING, PRECISION, MEDICAL OR SURGICAL INSTRUMENTS AND APPARATUS; PARTS AND ACCESSORIES THEREOF: Liquid crystal devices not constituting articles provided for more specifically in other headings; lasers, other than laser diodes; other optical appliances and instruments, not specified or included elsewhere in this chapter: Other devices, appliances and instruments: Other</t>
  </si>
  <si>
    <t>CHAPTER 90 - OPTICAL, PHOTOGRAPHIC, CINEMATOGRAPHIC, MEASURING, CHECKING, PRECISION, MEDICAL OR SURGICAL INSTRUMENTS AND APPARATUS; PARTS AND ACCESSORIES THEREOF: Liquid crystal devices not constituting articles provided for more specifically in other headings; lasers, other than laser diodes; other optical appliances and instruments, not specified or included elsewhere in this chapter: Parts and accessories: For liquid crystal devices (LCD)</t>
  </si>
  <si>
    <t>Parts and accessories</t>
  </si>
  <si>
    <t>CHAPTER 90 - OPTICAL, PHOTOGRAPHIC, CINEMATOGRAPHIC, MEASURING, CHECKING, PRECISION, MEDICAL OR SURGICAL INSTRUMENTS AND APPARATUS; PARTS AND ACCESSORIES THEREOF: 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 Other instruments and apparatus: Exposure meters</t>
  </si>
  <si>
    <t>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t>
  </si>
  <si>
    <t>Other instruments and apparatus</t>
  </si>
  <si>
    <t>CHAPTER 90 - OPTICAL, PHOTOGRAPHIC, CINEMATOGRAPHIC, MEASURING, CHECKING, PRECISION, MEDICAL OR SURGICAL INSTRUMENTS AND APPARATUS; PARTS AND ACCESSORIES THEREOF: 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 Other instruments and apparatus: pH meters, rH meters and other apparatus for measuring conductivity</t>
  </si>
  <si>
    <t>CHAPTER 90 - OPTICAL, PHOTOGRAPHIC, CINEMATOGRAPHIC, MEASURING, CHECKING, PRECISION, MEDICAL OR SURGICAL INSTRUMENTS AND APPARATUS; PARTS AND ACCESSORIES THEREOF: 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 Other instruments and apparatus: Other</t>
  </si>
  <si>
    <t>CHAPTER 90 - OPTICAL, PHOTOGRAPHIC, CINEMATOGRAPHIC, MEASURING, CHECKING, PRECISION, MEDICAL OR SURGICAL INSTRUMENTS AND APPARATUS; PARTS AND ACCESSORIES THEREOF: 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 Other instruments and apparatus: Mass spectrometers</t>
  </si>
  <si>
    <t>Other instruments and apparatus: Mass spectrometers</t>
  </si>
  <si>
    <t>CHAPTER 90 - OPTICAL, PHOTOGRAPHIC, CINEMATOGRAPHIC, MEASURING, CHECKING, PRECISION, MEDICAL OR SURGICAL INSTRUMENTS AND APPARATUS; PARTS AND ACCESSORIES THEREOF: 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 Other instruments and apparatus: Other: Exposure meters</t>
  </si>
  <si>
    <t>Exposure meters</t>
  </si>
  <si>
    <t>CHAPTER 90 - OPTICAL, PHOTOGRAPHIC, CINEMATOGRAPHIC, MEASURING, CHECKING, PRECISION, MEDICAL OR SURGICAL INSTRUMENTS AND APPARATUS; PARTS AND ACCESSORIES THEREOF: 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 Other instruments and apparatus: Other: pH meters, rH meters and other apparatus for measuring conductivity</t>
  </si>
  <si>
    <t>pH meters, rH meters and other apparatus for measuring conductivity</t>
  </si>
  <si>
    <t>CHAPTER 90 - OPTICAL, PHOTOGRAPHIC, CINEMATOGRAPHIC, MEASURING, CHECKING, PRECISION, MEDICAL OR SURGICAL INSTRUMENTS AND APPARATUS; PARTS AND ACCESSORIES THEREOF: 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 Other instruments and apparatus: Other: Other</t>
  </si>
  <si>
    <t>CHAPTER 91 - CLOCKS AND WATCHES AND PARTS THEREOF: Other clock or watch parts: Springs, including hairsprings</t>
  </si>
  <si>
    <t>CHAPTER 91 - CLOCKS AND WATCHES AND PARTS THEREOF</t>
  </si>
  <si>
    <t>Other clock or watch parts</t>
  </si>
  <si>
    <t>Springs, including hair-springs</t>
  </si>
  <si>
    <t>CHAPTER 91 - CLOCKS AND WATCHES AND PARTS THEREOF: Other clock or watch parts: Other</t>
  </si>
  <si>
    <t>CHAPTER 91 - CLOCKS AND WATCHES AND PARTS THEREOF: Other clock or watch parts: Other: Springs, including hairsprings</t>
  </si>
  <si>
    <t>Springs, including hairsprings</t>
  </si>
  <si>
    <t>CHAPTER 91 - CLOCKS AND WATCHES AND PARTS THEREOF: Other clock or watch parts: Other: Other</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</si>
  <si>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Swivel seats with variable height adjustment</t>
  </si>
  <si>
    <t>CHAPTER 94 - FURNITURE; BEDDING, MATTRESSES, MATTRESS SUPPORTS, CUSHIONS AND SIMILAR STUFFED FURNISHINGS; LUMINAIRES AND LIGHTING FITTINGS, NOT ELSEWHERE SPECIFIED OR INCLUDED; ILLUMINATED SIGNS, ILLUMINATED NAMEPLATES AND THE LIKE; PREFABRICATED BUILDINGS</t>
  </si>
  <si>
    <t>Seats (other than those of heading 9402), whether or not convertible into beds, and parts thereof</t>
  </si>
  <si>
    <t>Swivel seats with variable height adjustment</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</si>
  <si>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Swivel seats with variable height adjustment: Of wood</t>
  </si>
  <si>
    <t>Swivel seats with variable height adjustment: Of wood</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</si>
  <si>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Swivel seats with variable height adjustment: Other</t>
  </si>
  <si>
    <t>Swivel seats with variable height adjustment: Other</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</si>
  <si>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Seats other than garden seats or camping equipment, convertible into beds</t>
  </si>
  <si>
    <t>Seats other than garden seats or camping equipment, convertible into beds</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</si>
  <si>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Seats other than garden seats or camping equipment, convertible into beds: Of wood</t>
  </si>
  <si>
    <t>Seats other than garden seats or camping equipment, convertible into beds: Of wood</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</si>
  <si>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Seats other than garden seats or camping equipment, convertible into beds: Other</t>
  </si>
  <si>
    <t>Seats other than garden seats or camping equipment, convertible into beds: Other</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</si>
  <si>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Parts: Of seats of a kind used for aircraft</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</si>
  <si>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Parts: Other: Of wood</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</si>
  <si>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Parts: Other: Other</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</si>
  <si>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Parts: Of wood: Of seats of a kind used for aircraft</t>
  </si>
  <si>
    <t>Of seats of a kind used for aircraft</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</si>
  <si>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Parts: Of wood: Other</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</si>
  <si>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Parts: Other: Of seats of a kind used for aircraft</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</si>
  <si>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Parts: Other: Other</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</si>
  <si>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Parts: Of metal</t>
  </si>
  <si>
    <t>Other furniture and parts thereof</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</si>
  <si>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Parts: Of wood</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</si>
  <si>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Parts: Of other materials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</si>
  <si>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Parts: Of wood</t>
  </si>
  <si>
    <t>Parts: Of wood</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</si>
  <si>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Parts: Other: Of metal</t>
  </si>
  <si>
    <t>Of metal</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</si>
  <si>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Parts: Other: Of other materials</t>
  </si>
  <si>
    <t>Of other materials</t>
  </si>
  <si>
    <t>CHAPTER 94 - FURNITURE; BEDDING, MATTRESSES, MATTRESS SUPPORTS, CUSHIONS AND SIMILAR STUFFED FURNISHINGS; LUMINAIRES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Quilts, bedspreads, eiderdowns and duvets (comforters): Filled with feathers or down</t>
  </si>
  <si>
    <t>Filled with feathers or down</t>
  </si>
  <si>
    <t>Mattress supports; articles of bedding and similar furnishing (for example, mattresses, quilts, eiderdowns, cushions, pouffes and pillows) fitted with springs or stuffed or internally fitted with any material or of cellular rubber or plastics, whether or not covered</t>
  </si>
  <si>
    <t>CHAPTER 94 - FURNITURE; BEDDING, MATTRESSES, MATTRESS SUPPORTS, CUSHIONS AND SIMILAR STUFFED FURNISHINGS; LUMINAIRES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Quilts, bedspreads, eiderdowns and duvets (comforters): Other</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</si>
  <si>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Chandeliers and other electric ceiling or wall lighting fittings, excluding those of a kind used for lighting public open spaces or thoroughfares: Of plastics or of ceramic materials: Of plastics, of a kind used with filament lamps</t>
  </si>
  <si>
    <t>Luminaires and lighting fittings including searchlights and spotlights and parts thereof, not elsewhere specified or included; illuminated signs, illuminated nameplates and the like, having a permanently fixed light source, and parts thereof not elsewhere specified or included</t>
  </si>
  <si>
    <t>Chandeliers and other electric ceiling or wall lighting fittings, excluding those of a kind used for lighting public open spaces or thoroughfares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</si>
  <si>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Chandeliers and other electric ceiling or wall lighting fittings, excluding those of a kind used for lighting public open spaces or thoroughfares: Of plastics or of ceramic materials: Other</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</si>
  <si>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Chandeliers and other electric ceiling or wall lighting fittings, excluding those of a kind used for lighting public open spaces or thoroughfares: Of glass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</si>
  <si>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Chandeliers and other electric ceiling or wall lighting fittings, excluding those of a kind used for lighting public open spaces or thoroughfares: Of other materials: Of a kind used with filament lamps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</si>
  <si>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Chandeliers and other electric ceiling or wall lighting fittings, excluding those of a kind used for lighting public open spaces or thoroughfares: Of other materials: Other</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</si>
  <si>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Chandeliers and other electric ceiling or wall lighting fittings, excluding those of a kind used for lighting public open spaces or thoroughfares: Designed for use solely with light-emitting diode (LED) light sources: Of plastics or of ceramic materials</t>
  </si>
  <si>
    <t>Of plastics or of ceramic materials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</si>
  <si>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Chandeliers and other electric ceiling or wall lighting fittings, excluding those of a kind used for lighting public open spaces or thoroughfares: Designed for use solely with light-emitting diode (LED) light sources: Of glass</t>
  </si>
  <si>
    <t>Of glass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</si>
  <si>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Chandeliers and other electric ceiling or wall lighting fittings, excluding those of a kind used for lighting public open spaces or thoroughfares: Designed for use solely with light-emitting diode (LED) light sources: Of other materials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</si>
  <si>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Chandeliers and other electric ceiling or wall lighting fittings, excluding those of a kind used for lighting public open spaces or thoroughfares: Other: Of plastics or of ceramic materials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</si>
  <si>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Chandeliers and other electric ceiling or wall lighting fittings, excluding those of a kind used for lighting public open spaces or thoroughfares: Other: Of glass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</si>
  <si>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Chandeliers and other electric ceiling or wall lighting fittings, excluding those of a kind used for lighting public open spaces or thoroughfares: Other: Of other materials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</si>
  <si>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Electric table, desk, bedside or floor-standing lamps: Of plastics or of ceramic materials: Of plastics, of a kind used with filament lamps</t>
  </si>
  <si>
    <t>Electric table, desk, bedside or floor-standing lamps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</si>
  <si>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Electric table, desk, bedside or floor-standing lamps: Of plastics or of ceramic materials: Other</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</si>
  <si>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Electric table, desk, bedside or floor-standing lamps: Of glass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</si>
  <si>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Electric table, desk, bedside or floor-standing lamps: Of other materials: Of a kind used with filament lamps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</si>
  <si>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Electric table, desk, bedside or floor-standing lamps: Of other materials: Other</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</si>
  <si>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Electric table, desk, bedside or floor-standing luminaires: Designed for use solely with light-emitting diode (LED) light sources: Of plastics or of ceramic materials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</si>
  <si>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Electric table, desk, bedside or floor-standing luminaires: Designed for use solely with light-emitting diode (LED) light sources: Of glass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</si>
  <si>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Electric table, desk, bedside or floor-standing luminaires: Designed for use solely with light-emitting diode (LED) light sources: Of other materials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</si>
  <si>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Electric table, desk, bedside or floor-standing luminaires: Other: Of plastics or of ceramic materials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</si>
  <si>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Electric table, desk, bedside or floor-standing luminaires: Other: Of glass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</si>
  <si>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Electric table, desk, bedside or floor-standing luminaires: Other: Of other materials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</si>
  <si>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Lighting sets of a kind used for Christmas trees</t>
  </si>
  <si>
    <t>Lighting sets of a kind used for Christmas trees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</si>
  <si>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Lighting strings of a kind used for Christmas trees: Designed for use solely with light-emitting diode (LED) light sources</t>
  </si>
  <si>
    <t>Lighting strings of a kind used for Christmas trees: Designed for use solely with light-emitting diode (LED) light sources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</si>
  <si>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Lighting strings of a kind used for Christmas trees: Other</t>
  </si>
  <si>
    <t>Lighting strings of a kind used for Christmas trees: Other</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</si>
  <si>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lamps and lighting fittings: Searchlights and spotlights</t>
  </si>
  <si>
    <t>Other electric lamps and lighting fittings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</si>
  <si>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lamps and lighting fittings: Other: Of plastics: Of a kind used with filament lamps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</si>
  <si>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lamps and lighting fittings: Other: Of plastics: Of a kind used with tubular fluorescent lamps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</si>
  <si>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lamps and lighting fittings: Other: Of plastics: Other</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</si>
  <si>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lamps and lighting fittings: Other: Of other materials: Of a kind used with filament lamps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</si>
  <si>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lamps and lighting fittings: Other: Of other materials: Of a kind used with tubular fluorescent lamps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</si>
  <si>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lamps and lighting fittings: Other: Of other materials: Other</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</si>
  <si>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luminaires and lighting fittings: Photovoltaic, designed for use solely with light-emitting diode (LED) light sources: Searchlights and spotlights</t>
  </si>
  <si>
    <t>Searchlights and spotlights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</si>
  <si>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luminaires and lighting fittings: Photovoltaic, designed for use solely with light-emitting diode (LED) light sources: Other: Of plastics</t>
  </si>
  <si>
    <t>Other: Of plastics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</si>
  <si>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luminaires and lighting fittings: Photovoltaic, designed for use solely with light-emitting diode (LED) light sources: Other: Other</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</si>
  <si>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luminaires and lighting fittings: Other, designed for use solely with light-emitting diode (LED) light sources: Searchlights and spotlights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</si>
  <si>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luminaires and lighting fittings: Other, designed for use solely with light-emitting diode (LED) light sources: Other: Of plastics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</si>
  <si>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luminaires and lighting fittings: Other, designed for use solely with light-emitting diode (LED) light sources: Other: Other</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</si>
  <si>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luminaires and lighting fittings: Other: Searchlights and spotlights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</si>
  <si>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luminaires and lighting fittings: Other: Other: Of plastics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</si>
  <si>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Other electric luminaires and lighting fittings: Other: Other: Of other materials</t>
  </si>
  <si>
    <t>Other: Of other materials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</si>
  <si>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Illuminated signs, illuminated nameplates and the like: Of plastics</t>
  </si>
  <si>
    <t>Illuminated signs, illuminated name-plates and the like</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</si>
  <si>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Illuminated signs, illuminated nameplates and the like: Of other materials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</si>
  <si>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Illuminated signs, illuminated nameplates and the like: Designed for use solely with light-emitting diode (LED) light sources: Of plastics</t>
  </si>
  <si>
    <t>Of plastics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</si>
  <si>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Illuminated signs, illuminated nameplates and the like: Designed for use solely with light-emitting diode (LED) light sources: Of other materials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</si>
  <si>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Illuminated signs, illuminated nameplates and the like: Other: Of plastics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</si>
  <si>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Illuminated signs, illuminated nameplates and the like: Other: Of other materials</t>
  </si>
  <si>
    <t>CHAPTER 94 - FURNITURE; BEDDING, MATTRESSES, MATTRESS SUPPORTS, CUSHIONS AND SIMILAR STUFFED FURNISHINGS; LUMINAIRES AND LIGHTING FITTINGS, NOT ELSEWHERE SPECIFIED OR INCLUDED; ILLUMINATED SIGNS, ILLUMINATED NAMEPLATES AND THE LIKE; PREFABRICATED BUILDINGS: Prefabricated buildings: Modular building units, of steel</t>
  </si>
  <si>
    <t>Modular building units, of steel</t>
  </si>
  <si>
    <t>Prefabricated buildings</t>
  </si>
  <si>
    <t>CHAPTER 95 - TOYS, GAMES AND SPORTS REQUISITES; PARTS AND ACCESSORIES THEREOF: Travelling circuses and travelling menageries; amusement park rides and water park amusements; fairground amusements, including shooting galleries; travelling theatres: Amusement park rides and water park amusements: Roller coasters</t>
  </si>
  <si>
    <t>Amusement park rides and water park amusements: Roller coasters</t>
  </si>
  <si>
    <t>CHAPTER 95 - TOYS, GAMES AND SPORTS REQUISITES; PARTS AND ACCESSORIES THEREOF</t>
  </si>
  <si>
    <t>Travelling circuses and travelling menageries; amusement park rides and water park amusements; fairground amusements, including shooting galleries; travelling theatres</t>
  </si>
  <si>
    <t>CHAPTER 95 - TOYS, GAMES AND SPORTS REQUISITES; PARTS AND ACCESSORIES THEREOF: Travelling circuses and travelling menageries; amusement park rides and water park amusements; fairground amusements, including shooting galleries; travelling theatres: Amusement park rides and water park amusements: Carousels, swings and roundabouts</t>
  </si>
  <si>
    <t>Amusement park rides and water park amusements: Carousels, swings and roundabouts</t>
  </si>
  <si>
    <t>CHAPTER 95 - TOYS, GAMES AND SPORTS REQUISITES; PARTS AND ACCESSORIES THEREOF: Travelling circuses and travelling menageries; amusement park rides and water park amusements; fairground amusements, including shooting galleries; travelling theatres: Amusement park rides and water park amusements: Dodge’em cars</t>
  </si>
  <si>
    <t>Amusement park rides and water park amusements: Dodge’em cars</t>
  </si>
  <si>
    <t>CHAPTER 95 - TOYS, GAMES AND SPORTS REQUISITES; PARTS AND ACCESSORIES THEREOF: Travelling circuses and travelling menageries; amusement park rides and water park amusements; fairground amusements, including shooting galleries; travelling theatres: Amusement park rides and water park amusements: Motion simulators and moving theatres</t>
  </si>
  <si>
    <t>Amusement park rides and water park amusements: Motion simulators and moving theatres</t>
  </si>
  <si>
    <t>CHAPTER 95 - TOYS, GAMES AND SPORTS REQUISITES; PARTS AND ACCESSORIES THEREOF: Travelling circuses and travelling menageries; amusement park rides and water park amusements; fairground amusements, including shooting galleries; travelling theatres: Amusement park rides and water park amusements: Water rides</t>
  </si>
  <si>
    <t>Amusement park rides and water park amusements: Water rides</t>
  </si>
  <si>
    <t>CHAPTER 95 - TOYS, GAMES AND SPORTS REQUISITES; PARTS AND ACCESSORIES THEREOF: Travelling circuses and travelling menageries; amusement park rides and water park amusements; fairground amusements, including shooting galleries; travelling theatres: Amusement park rides and water park amusements: Water park amusements</t>
  </si>
  <si>
    <t>Amusement park rides and water park amusements: Water park amusements</t>
  </si>
  <si>
    <t>CHAPTER 95 - TOYS, GAMES AND SPORTS REQUISITES; PARTS AND ACCESSORIES THEREOF: Travelling circuses and travelling menageries; amusement park rides and water park amusements; fairground amusements, including shooting galleries; travelling theatres: Amusement park rides and water park amusements: Other</t>
  </si>
  <si>
    <t>Amusement park rides and water park amusements: Other</t>
  </si>
  <si>
    <t>CHAPTER 95 - TOYS, GAMES AND SPORTS REQUISITES; PARTS AND ACCESSORIES THEREOF: Travelling circuses and travelling menageries; amusement park rides and water park amusements; fairground amusements, including shooting galleries; travelling theatres: Fairground amusements</t>
  </si>
  <si>
    <t>Fairground amusements</t>
  </si>
  <si>
    <t>CHAPTER 95 - TOYS, GAMES AND SPORTS REQUISITES; PARTS AND ACCESSORIES THEREOF: Travelling circuses and travelling menageries; amusement park rides and water park amusements; fairground amusements, including shooting galleries; travelling theatres: Travelling theatres</t>
  </si>
  <si>
    <t>Travelling theatres</t>
  </si>
  <si>
    <t>CHAPTER 95 - TOYS, GAMES AND SPORTS REQUISITES; PARTS AND ACCESSORIES THEREOF: Roundabouts, swings, shooting galleries and other fairground amusements; travelling circuses and travelling menageries; travelling theatres: Other</t>
  </si>
  <si>
    <t>CHAPTER 97 - WORKS OF ART, COLLECTORS' PIECES AND ANTIQUES: Paintings, drawings and pastels, executed entirely by hand, other than drawings of heading 4906 and other than hand-painted or hand-decorated manufactured articles; collages and similar decorative plaques: Paintings, drawings and pastels</t>
  </si>
  <si>
    <t>CHAPTER 97 - WORKS OF ART, COLLECTORS' PIECES AND ANTIQUES</t>
  </si>
  <si>
    <t>Paintings, drawings and pastels, executed entirely by hand, other than drawings of heading 4906 and other than hand-painted or hand-decorated manufactured articles; collages, mosaics and similar decorative plaques</t>
  </si>
  <si>
    <t>Paintings, drawings and pastels</t>
  </si>
  <si>
    <t>CHAPTER 97 - WORKS OF ART, COLLECTORS' PIECES AND ANTIQUES: Paintings, drawings and pastels, executed entirely by hand, other than drawings of heading 4906 and other than hand-painted or hand-decorated manufactured articles; collages, mosaics and similar decorative plaques: Of an age exceeding 100 years: Paintings, drawings and pastels</t>
  </si>
  <si>
    <t>Of an age exceeding 100 years: Paintings, drawings and pastels</t>
  </si>
  <si>
    <t>CHAPTER 97 - WORKS OF ART, COLLECTORS' PIECES AND ANTIQUES: Paintings, drawings and pastels, executed entirely by hand, other than drawings of heading 4906 and other than hand-painted or hand-decorated manufactured articles; collages, mosaics and similar decorative plaques: Of an age exceeding 100 years: Mosaics</t>
  </si>
  <si>
    <t>Of an age exceeding 100 years: Mosaics</t>
  </si>
  <si>
    <t>CHAPTER 97 - WORKS OF ART, COLLECTORS' PIECES AND ANTIQUES: Paintings, drawings and pastels, executed entirely by hand, other than drawings of heading 4906 and other than hand-painted or hand-decorated manufactured articles; collages, mosaics and similar decorative plaques: Of an age exceeding 100 years: Other</t>
  </si>
  <si>
    <t>Of an age exceeding 100 years: Other</t>
  </si>
  <si>
    <t>CHAPTER 97 - WORKS OF ART, COLLECTORS' PIECES AND ANTIQUES: Paintings, drawings and pastels, executed entirely by hand, other than drawings of heading 4906 and other than hand-painted or hand-decorated manufactured articles; collages and similar decorative plaques: Other</t>
  </si>
  <si>
    <t>CHAPTER 97 - WORKS OF ART, COLLECTORS' PIECES AND ANTIQUES: Paintings, drawings and pastels, executed entirely by hand, other than drawings of heading 4906 and other than hand-painted or hand-decorated manufactured articles; collages, mosaics and similar decorative plaques: Other: Paintings, drawing and pastels</t>
  </si>
  <si>
    <t>Other: Paintings, drawing and pastels</t>
  </si>
  <si>
    <t>CHAPTER 97 - WORKS OF ART, COLLECTORS' PIECES AND ANTIQUES: Paintings, drawings and pastels, executed entirely by hand, other than drawings of heading 4906 and other than hand-painted or hand-decorated manufactured articles; collages, mosaics and similar decorative plaques: Other: Mosaics</t>
  </si>
  <si>
    <t>Other: Mosaics</t>
  </si>
  <si>
    <t>CHAPTER 97 - WORKS OF ART, COLLECTORS' PIECES AND ANTIQUES: Paintings, drawings and pastels, executed entirely by hand, other than drawings of heading 4906 and other than hand-painted or hand-decorated manufactured articles; collages, mosaics and similar decorative plaques: Other: Other</t>
  </si>
  <si>
    <t>CHAPTER 97 - WORKS OF ART, COLLECTORS' PIECES AND ANTIQUES: Original engravings, prints and lithographs</t>
  </si>
  <si>
    <t>Original engravings, prints and lithographs</t>
  </si>
  <si>
    <t>Original engravings, prints and lithographs.</t>
  </si>
  <si>
    <t>CHAPTER 97 - WORKS OF ART, COLLECTORS' PIECES AND ANTIQUES: Original engravings, prints and lithographs: Of an age exceeding 100 years</t>
  </si>
  <si>
    <t>Of an age exceeding 100 years</t>
  </si>
  <si>
    <t>CHAPTER 97 - WORKS OF ART, COLLECTORS' PIECES AND ANTIQUES: Original engravings, prints and lithographs: Other</t>
  </si>
  <si>
    <t>CHAPTER 97 - WORKS OF ART, COLLECTORS' PIECES AND ANTIQUES: Original sculptures and statuary, in any material</t>
  </si>
  <si>
    <t>Original sculpture and statuary, in any material</t>
  </si>
  <si>
    <t>Original sculptures and statuary, in any material.</t>
  </si>
  <si>
    <t>CHAPTER 97 - WORKS OF ART, COLLECTORS' PIECES AND ANTIQUES: Original sculpture and statuary, in any material: Of an age exceeding 100 years</t>
  </si>
  <si>
    <t>CHAPTER 97 - WORKS OF ART, COLLECTORS' PIECES AND ANTIQUES: Original sculpture and statuary, in any material: Other</t>
  </si>
  <si>
    <t>CHAPTER 97 - WORKS OF ART, COLLECTORS' PIECES AND ANTIQUES: Collections and collectors' pieces of zoological, botanical, mineralogical, anatomical, historical, archaeological, palaeontological, ethnographic or numismatic interest</t>
  </si>
  <si>
    <t>Collections and collectors’ pieces of archaeological, ethnographic, historical, zoological, botanical, mineralogical, anatomical, paleontological or numismatic interest</t>
  </si>
  <si>
    <t>Collections and collectors' pieces of zoological, botanical, mineralogical,         anatomical,      historical,       archaeological, palaeontological, ethnographic or numismatic interest.</t>
  </si>
  <si>
    <t>CHAPTER 97 - WORKS OF ART, COLLECTORS' PIECES AND ANTIQUES: Collections and collectors’ pieces of archaeological, ethnographic, historical, zoological, botanical, mineralogical, anatomical, paleontological or numismatic interest: Collections and collectors’ pieces of archaeological, ethnographic or historical interest</t>
  </si>
  <si>
    <t>Collections and collectors’ pieces of archaeological, ethnographic or historical interest</t>
  </si>
  <si>
    <t>CHAPTER 97 - WORKS OF ART, COLLECTORS' PIECES AND ANTIQUES: Collections and collectors’ pieces of archaeological, ethnographic, historical, zoological, botanical, mineralogical, anatomical, paleontological or numismatic interest: Collections and collectors’ pieces of zoological, botanical, mineralogical, anatomical or paleontological interest: Human specimens and parts thereof</t>
  </si>
  <si>
    <t>Collections and collectors’ pieces of zoological, botanical, mineralogical, anatomical or paleontological interest: Human specimens and parts thereof</t>
  </si>
  <si>
    <t>CHAPTER 97 - WORKS OF ART, COLLECTORS' PIECES AND ANTIQUES: Collections and collectors’ pieces of archaeological, ethnographic, historical, zoological, botanical, mineralogical, anatomical, paleontological or numismatic interest: Collections and collectors’ pieces of zoological, botanical, mineralogical, anatomical or paleontological interest: Extinct or endangered species and parts thereof</t>
  </si>
  <si>
    <t>Collections and collectors’ pieces of zoological, botanical, mineralogical, anatomical or paleontological interest: Extinct or endangered species and parts thereof</t>
  </si>
  <si>
    <t>CHAPTER 97 - WORKS OF ART, COLLECTORS' PIECES AND ANTIQUES: Collections and collectors’ pieces of archaeological, ethnographic, historical, zoological, botanical, mineralogical, anatomical, paleontological or numismatic interest: Collections and collectors’ pieces of zoological, botanical, mineralogical, anatomical or paleontological interest: Other</t>
  </si>
  <si>
    <t>Collections and collectors’ pieces of zoological, botanical, mineralogical, anatomical or paleontological interest: Other</t>
  </si>
  <si>
    <t>CHAPTER 97 - WORKS OF ART, COLLECTORS' PIECES AND ANTIQUES: Collections and collectors’ pieces of archaeological, ethnographic, historical, zoological, botanical, mineralogical, anatomical, paleontological or numismatic interest: Collections and collectors’ pieces of numismatic interest: Of an age exceeding 100 years</t>
  </si>
  <si>
    <t>Collections and collectors’ pieces of numismatic interest: Of an age exceeding 100 years</t>
  </si>
  <si>
    <t>CHAPTER 97 - WORKS OF ART, COLLECTORS' PIECES AND ANTIQUES: Collections and collectors’ pieces of archaeological, ethnographic, historical, zoological, botanical, mineralogical, anatomical, paleontological or numismatic interest: Collections and collectors’ pieces of numismatic interest: Other</t>
  </si>
  <si>
    <t>Collections and collectors’ pieces of numismatic interest: Other</t>
  </si>
  <si>
    <t>CHAPTER 97 - WORKS OF ART, COLLECTORS' PIECES AND ANTIQUES: Antiques of an age exceeding 100 years</t>
  </si>
  <si>
    <t>Antiques of an age exceeding 100 years</t>
  </si>
  <si>
    <t>Antiques of an age exceeding one hundred years.</t>
  </si>
  <si>
    <t>CHAPTER 97 - WORKS OF ART, COLLECTORS' PIECES AND ANTIQUES: Antiques of an age exceeding 100 years: Of an age exceeding 250 years</t>
  </si>
  <si>
    <t>Of an age exceeding 250 years</t>
  </si>
  <si>
    <t>CHAPTER 97 - WORKS OF ART, COLLECTORS' PIECES AND ANTIQUES: Antiques of an age exceeding 100 years: Other</t>
  </si>
  <si>
    <t>Action</t>
  </si>
  <si>
    <t>HS Code</t>
  </si>
  <si>
    <t>Full Description</t>
  </si>
  <si>
    <t>Rest Description</t>
  </si>
  <si>
    <t>Start Date</t>
  </si>
  <si>
    <t>End Date</t>
  </si>
  <si>
    <t>Chapter</t>
  </si>
  <si>
    <t>Heading</t>
  </si>
  <si>
    <t>Subheading</t>
  </si>
  <si>
    <t>LANGUAGE_NAME</t>
  </si>
  <si>
    <t>DESCRIPTIONS_CHANGED</t>
  </si>
  <si>
    <t>German</t>
  </si>
  <si>
    <t>English</t>
  </si>
  <si>
    <t>French</t>
  </si>
  <si>
    <t>For the industrial manufacture of products of heading 1604</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</si>
  <si>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Albacore or longfinned tuna (Thunnus alalunga): For the industrial manufacture of products of heading 1604</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</si>
  <si>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Albacore or longfinned tuna (Thunnus alalunga): For the industrial manufacture of products of heading 1604</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</si>
  <si>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Albacore or longfinned tuna (Thunnus alalunga): Other</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</si>
  <si>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Albacore or longfinned tuna (Thunnus alalunga): Other</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</si>
  <si>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Yellowfin tuna (Thunnus albacares): For the industrial manufacture of products of heading 1604</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</si>
  <si>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Yellowfin tuna (Thunnus albacares): For the industrial manufacture of products of heading 1604</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</si>
  <si>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Yellowfin tuna (Thunnus albacares): Other</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</si>
  <si>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Yellowfin tuna (Thunnus albacares): Other</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</si>
  <si>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Skipjack tuna (stripe-bellied bonito) (Katsuwonus pelamis): For the industrial manufacture of products of heading 1604</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</si>
  <si>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Skipjack or stripe-bellied bonito: For the industrial manufacture of products of heading 1604</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</si>
  <si>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Skipjack tuna (stripe-bellied bonito) (Katsuwonus pelamis): Other</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</si>
  <si>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Skipjack or stripe-bellied bonito: Other</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</si>
  <si>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Bigeye tuna (Thunnus obesus): For the industrial manufacture of products of heading 1604</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</si>
  <si>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Bigeye tuna (Thunnus obesus): For the industrial manufacture of products of heading 1604</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</si>
  <si>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Bigeye tuna (Thunnus obesus): Other</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</si>
  <si>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Bigeye tuna (Thunnus obesus): Other</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</si>
  <si>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Atlantic and Pacific bluefin tuna (Thunnus thynnus, Thunnus orientalis): Atlantic bluefin tuna (Thunnus thynnus): For the industrial manufacture of products of heading 1604</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</si>
  <si>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Atlantic and Pacific bluefin tuna (Thunnus thynnus, Thunnus orientalis): Atlantic bluefin tuna (Thunnus thynnus): For the industrial manufacture of products of heading 1604</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</si>
  <si>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Atlantic and Pacific bluefin tuna (Thunnus thynnus, Thunnus orientalis): Atlantic bluefin tuna (Thunnus thynnus): Other</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</si>
  <si>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Atlantic and Pacific bluefin tuna (Thunnus thynnus, Thunnus orientalis): Atlantic bluefin tuna (Thunnus thynnus): Other</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</si>
  <si>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Atlantic and Pacific bluefin tuna (Thunnus thynnus, Thunnus orientalis): Pacific bluefin tuna (Thunnus orientalis): For the industrial manufacture of products of heading 1604</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</si>
  <si>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Atlantic and Pacific bluefin tuna (Thunnus thynnus, Thunnus orientalis): Pacific bluefin tuna (Thunnus orientalis): For the industrial manufacture of products of heading 1604</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</si>
  <si>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Atlantic and Pacific bluefin tuna (Thunnus thynnus, Thunnus orientalis): Pacific bluefin tuna (Thunnus orientalis): Other</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</si>
  <si>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Atlantic and Pacific bluefin tuna (Thunnus thynnus, Thunnus orientalis): Pacific bluefin tuna (Thunnus orientalis): Other</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</si>
  <si>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Southern bluefin tuna (Thunnus maccoyii): For the industrial manufacture of products of heading 1604</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</si>
  <si>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Southern bluefin tuna (Thunnus maccoyii): For the industrial manufacture of products of heading 1604</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</si>
  <si>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Southern bluefin tuna (Thunnus maccoyii): Other</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</si>
  <si>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Southern bluefin tuna (Thunnus maccoyii): Other</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</si>
  <si>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Other: For the industrial manufacture of products of heading 1604</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</si>
  <si>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Other: For the industrial manufacture of products of heading 1604</t>
  </si>
  <si>
    <t>CHAPTER 3 - FISH AND CRUSTACEANS, MOLLUSCS AND OTHER AQUATIC INVERTEBRATES: Fish, fresh or chilled, excluding fish fillets and other fish meat of heading 0304: Tunas (of the genus Thunnus), skipjack tuna (stripe-bellied bonito)  (Katsuwonus pelamis), excluding edible fish offal of subheadings 030291 to 030299: Other: Other</t>
  </si>
  <si>
    <t>CHAPTER 3 - FISH AND CRUSTACEANS, MOLLUSCS AND OTHER AQUATIC INVERTEBRATES: Fish, fresh or chilled, excluding fish fillets and other fish meat of heading 0304: Tunas (of the genus Thunnus), skipjack or stripe-bellied bonito (Euthynnus (Katsuwonus) pelamis), excluding edible fish offal of subheadings 030291 to 030299: Other: Other</t>
  </si>
  <si>
    <t>CHAPTER 3 - FISH AND CRUSTACEANS, MOLLUSCS AND OTHER AQUATIC INVERTEBRATES: Fish, fresh or chilled, excluding fish fillets and other fish meat of heading 0304: Other fish, excluding edible fish offal of subheadings 0302 91 to 0302 99: Other: Other: Fish of the genus Euthynnus, other than Kawakawa (Euthynnus affinis) covered by subheading 030249: For the industrial manufacture of products of heading 1604</t>
  </si>
  <si>
    <t>CHAPTER 3 - FISH AND CRUSTACEANS, MOLLUSCS AND OTHER AQUATIC INVERTEBRATES: Fish, fresh or chilled, excluding fish fillets and other fish meat of heading 0304: Other fish, excluding edible fish offal of subheadings 0302 91 to 0302 99: Other: Other: Fish of the genus Euthynnus, other than the skipjack or stripe-bellied bonito (Euthynnus (Katsuwonus) pelamis) mentioned in subheading 030233 and other than Kawakawa (Euthynnus affinis) mentioned in subheading 030249: For the industrial manufacture of products of heading 1604</t>
  </si>
  <si>
    <t>CHAPTER 3 - FISH AND CRUSTACEANS, MOLLUSCS AND OTHER AQUATIC INVERTEBRATES: Fish, fresh or chilled, excluding fish fillets and other fish meat of heading 0304: Other fish, excluding edible fish offal of subheadings 0302 91 to 0302 99: Other: Other: Fish of the genus Euthynnus, other than Kawakawa (Euthynnus affinis) covered by subheading 030249: Other</t>
  </si>
  <si>
    <t>CHAPTER 3 - FISH AND CRUSTACEANS, MOLLUSCS AND OTHER AQUATIC INVERTEBRATES: Fish, fresh or chilled, excluding fish fillets and other fish meat of heading 0304: Other fish, excluding edible fish offal of subheadings 0302 91 to 0302 99: Other: Other: Fish of the genus Euthynnus, other than the skipjack or stripe-bellied bonito (Euthynnus (Katsuwonus) pelamis) mentioned in subheading 030233 and other than Kawakawa (Euthynnus affinis) mentioned in subheading 030249: Other</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</si>
  <si>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Albacore or longfinned tuna (Thunnus alalunga): For the industrial manufacture of products of heading 1604</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</si>
  <si>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Albacore or longfinned tuna (Thunnus alalunga): For the industrial manufacture of products of heading 1604</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</si>
  <si>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Albacore or longfinned tuna (Thunnus alalunga): Other</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</si>
  <si>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Albacore or longfinned tuna (Thunnus alalunga): Other</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</si>
  <si>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Yellowfin tuna (Thunnus albacares): For the industrial manufacture of products of heading 1604</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</si>
  <si>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Yellowfin tuna (Thunnus albacares): For the industrial manufacture of products of heading 1604</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</si>
  <si>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Yellowfin tuna (Thunnus albacares): Other</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</si>
  <si>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Yellowfin tuna (Thunnus albacares): Other</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</si>
  <si>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Skipjack tuna (stripe-bellied bonito) (Katsuwonus pelamis): For the industrial manufacture of products of heading 1604</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</si>
  <si>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Skipjack or stripe-bellied bonito: For the industrial manufacture of products of heading 1604</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</si>
  <si>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Skipjack tuna (stripe-bellied bonito) (Katsuwonus pelamis): Other</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</si>
  <si>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Skipjack or stripe-bellied bonito: Other</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</si>
  <si>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Bigeye tuna (Thunnus obesus): For the industrial manufacture of products of heading 1604</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</si>
  <si>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Bigeye tuna (Thunnus obesus): For the industrial manufacture of products of heading 1604</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</si>
  <si>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Bigeye tuna (Thunnus obesus): Other</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</si>
  <si>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Bigeye tuna (Thunnus obesus): Other</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</si>
  <si>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Atlantic and Pacific bluefin tuna (Thunnus thynnus, Thunnus orientalis): Atlantic bluefin tuna (Thunnus thynnus): For the industrial manufacture of products of heading 1604</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</si>
  <si>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Atlantic and Pacific bluefin tuna (Thunnus thynnus, Thunnus orientalis): Atlantic bluefin tuna (Thunnus thynnus): For the industrial manufacture of products of heading 1604</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</si>
  <si>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Atlantic and Pacific bluefin tuna (Thunnus thynnus, Thunnus orientalis): Atlantic bluefin tuna (Thunnus thynnus): Other</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</si>
  <si>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Atlantic and Pacific bluefin tuna (Thunnus thynnus, Thunnus orientalis): Atlantic bluefin tuna (Thunnus thynnus): Other</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</si>
  <si>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Atlantic and Pacific bluefin tuna (Thunnus thynnus, Thunnus orientalis): Pacific bluefin tuna (Thunnus orientalis): For the industrial manufacture of products of heading 1604</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</si>
  <si>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Atlantic and Pacific bluefin tuna (Thunnus thynnus, Thunnus orientalis): Pacific bluefin tuna (Thunnus orientalis): For the industrial manufacture of products of heading 1604</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</si>
  <si>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Atlantic and Pacific bluefin tuna (Thunnus thynnus, Thunnus orientalis): Pacific bluefin tuna (Thunnus orientalis): Other</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</si>
  <si>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Atlantic and Pacific bluefin tuna (Thunnus thynnus, Thunnus orientalis): Pacific bluefin tuna (Thunnus orientalis): Other</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</si>
  <si>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Southern bluefin tuna (Thunnus maccoyii): For the industrial manufacture of products of heading 1604</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</si>
  <si>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Southern bluefin tuna (Thunnus maccoyii): For the industrial manufacture of products of heading 1604</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</si>
  <si>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Southern bluefin tuna (Thunnus maccoyii): Other</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</si>
  <si>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Southern bluefin tuna (Thunnus maccoyii): Other</t>
  </si>
  <si>
    <t>For the industrial manufacture of products of heading 1604</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</si>
  <si>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Other: For the industrial manufacture of products of heading 1604</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</si>
  <si>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Other: For the industrial manufacture of products of heading 1604</t>
  </si>
  <si>
    <t>CHAPTER 3 - FISH AND CRUSTACEANS, MOLLUSCS AND OTHER AQUATIC INVERTEBRATES: Fish, frozen, excluding fish fillets and other fish meat of heading 0304: Tunas (of the genus Thunnus), skipjack tuna (stripe-bellied bonito) (Katsuwonus pelamis), excluding edible fish offal of subheadings 030391 to 030399: Other: Other</t>
  </si>
  <si>
    <t>CHAPTER 3 - FISH AND CRUSTACEANS, MOLLUSCS AND OTHER AQUATIC INVERTEBRATES: Fish, frozen, excluding fish fillets and other fish meat of heading 0304: Tunas (of the genus Thunnus), skipjack or stripe-bellied bonito (Euthynnus (Katsuwonus) pelamis), excluding edible fish offal of subheadings 030391 to 030399: Other: Other</t>
  </si>
  <si>
    <t>CHAPTER 3 - FISH AND CRUSTACEANS, MOLLUSCS AND OTHER AQUATIC INVERTEBRATES: Fish, frozen, excluding fish fillets and other fish meat of heading 0304: Other fish, excluding edible fish offal of subheadings 030391 to 030399: Other: Other: Fish of the genus Euthynnus, other than Kawakawa (Euthynnus affinis) covered by subheading  030359: For the industrial manufacture of products of heading 1604</t>
  </si>
  <si>
    <t>CHAPTER 3 - FISH AND CRUSTACEANS, MOLLUSCS AND OTHER AQUATIC INVERTEBRATES: Fish, frozen, excluding fish fillets and other fish meat of heading 0304: Other fish, excluding edible fish offal of subheadings 030391 to 030399: Other: Other: Fish of the genus Euthynnus, other than the skipjack or stripe-bellied bonito (Euthynnus (Katsuwonus) pelamis) mentioned in subheading 030343 and other than Kawakawa (Euthynnus affinis) mentioned in subheading  030359: For the industrial manufacture of products of heading 1604</t>
  </si>
  <si>
    <t>CHAPTER 3 - FISH AND CRUSTACEANS, MOLLUSCS AND OTHER AQUATIC INVERTEBRATES: Fish, frozen, excluding fish fillets and other fish meat of heading 0304: Other fish, excluding edible fish offal of subheadings 030391 to 030399: Other: Other: Fish of the genus Euthynnus, other than Kawakawa (Euthynnus affinis) covered by subheading  030359: Other</t>
  </si>
  <si>
    <t>CHAPTER 3 - FISH AND CRUSTACEANS, MOLLUSCS AND OTHER AQUATIC INVERTEBRATES: Fish, frozen, excluding fish fillets and other fish meat of heading 0304: Other fish, excluding edible fish offal of subheadings 030391 to 030399: Other: Other: Fish of the genus Euthynnus, other than the skipjack or stripe-bellied bonito (Euthynnus (Katsuwonus) pelamis) mentioned in subheading 030343 and other than Kawakawa (Euthynnus affinis) mentioned in subheading  030359: Other</t>
  </si>
  <si>
    <t>Tunas (of the genus Thunnus), skipjack tuna (stripe-bellied bonito) (Katsuwonus pelamis)</t>
  </si>
  <si>
    <t>Tuna (of the genus Thunnus), skipjack or stripe-bellied bonito (Euthynnus (Katsuwonus) pelamis)</t>
  </si>
  <si>
    <t>CHAPTER 3 - FISH AND CRUSTACEANS, MOLLUSCS AND OTHER AQUATIC INVERTEBRATES: Fish fillets and other fish meat (whether or not minced), fresh, chilled or frozen: Frozen fillets of other fish: Tunas (of the genus Thunnus), skipjack tuna (stripe-bellied bonito) (Katsuwonus pelamis)</t>
  </si>
  <si>
    <t>CHAPTER 3 - FISH AND CRUSTACEANS, MOLLUSCS AND OTHER AQUATIC INVERTEBRATES: Fish fillets and other fish meat (whether or not minced), fresh, chilled or frozen: Frozen fillets of other fish: Tuna (of the genus Thunnus), skipjack or stripe-bellied bonito (Euthynnus (Katsuwonus) pelamis)</t>
  </si>
  <si>
    <t>Fish of the genus Euthynnus</t>
  </si>
  <si>
    <t>Fish of the genus Euthynnus, other than the skipjack or stripe-bellied bonito (Euthynnus (Katsuwonus) pelamis) mentioned in subheading 03048700</t>
  </si>
  <si>
    <t>CHAPTER 3 - FISH AND CRUSTACEANS, MOLLUSCS AND OTHER AQUATIC INVERTEBRATES: Fish fillets and other fish meat (whether or not minced), fresh, chilled or frozen: Frozen fillets of other fish: Other: Other: Fish of the genus Euthynnus</t>
  </si>
  <si>
    <t>CHAPTER 3 - FISH AND CRUSTACEANS, MOLLUSCS AND OTHER AQUATIC INVERTEBRATES: Fish fillets and other fish meat (whether or not minced), fresh, chilled or frozen: Frozen fillets of other fish: Other: Other: Fish of the genus Euthynnus, other than the skipjack or stripe-bellied bonito (Euthynnus (Katsuwonus) pelamis) mentioned in subheading 03048700</t>
  </si>
  <si>
    <t>Livers, roes and milt of fish, dried, smoked, salted or in brine</t>
  </si>
  <si>
    <t>CHAPTER 3 - FISH AND CRUSTACEANS, MOLLUSCS AND OTHER AQUATIC INVERTEBRATES: Fish, dried, salted or in brine; smoked fish, whether or not cooked before or during the smoking process: Livers, roes and milt of fish, dried, smoked, salted or in brine</t>
  </si>
  <si>
    <t>CHAPTER 3 - FISH AND CRUSTACEANS, MOLLUSCS AND OTHER AQUATIC INVERTEBRATES: Fish, dried, salted or in brine; smoked fish, whether or not cooked before or during the smoking process; flours, meals and pellets of fish, fit for human consumption: Livers, roes and milt of fish, dried, smoked, salted or in brine</t>
  </si>
  <si>
    <t>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</si>
  <si>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CHAPTER 3 - FISH AND CRUSTACEANS, MOLLUSCS AND OTHER AQUATIC INVERTEBRATES: Fish, dried, salted or in brine; smoked fish, whether or not cooked before or during the smoking process: Fish fillets, dried, salted or in brine, but not smoked: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</si>
  <si>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CHAPTER 3 - FISH AND CRUSTACEANS, MOLLUSCS AND OTHER AQUATIC INVERTEBRATES: Fish, dried, salted or in brine; smoked fish, whether or not cooked before or during the smoking process; flours, meals and pellets of fish, fit for human consumption: Fish fillets, dried, salted or in brine, but not smoked: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</si>
  <si>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Cod of the species Gadus macrocephalus</t>
  </si>
  <si>
    <t>CHAPTER 3 - FISH AND CRUSTACEANS, MOLLUSCS AND OTHER AQUATIC INVERTEBRATES: Fish, dried, salted or in brine; smoked fish, whether or not cooked before or during the smoking process: Fish fillets, dried, salted or in brine, but not smoked: Fish of the families Bregmacerotidae, Euclichthyidae, Gadidae, Macrouridae, Melanonidae, Merlucciidae, Moridae and Muraenolepididae: Cod (Gadus morhua, Gadus ogac, Gadus macrocephalus) and Polar cod (Boreogadus saida): Cod of the species Gadus macrocephalus</t>
  </si>
  <si>
    <t>CHAPTER 3 - FISH AND CRUSTACEANS, MOLLUSCS AND OTHER AQUATIC INVERTEBRATES: Fish, dried, salted or in brine; smoked fish, whether or not cooked before or during the smoking process; flours, meals and pellets of fish, fit for human consumption: Fish fillets, dried, salted or in brine, but not smoked: Fish of the families Bregmacerotidae, Euclichthyidae, Gadidae, Macrouridae, Melanonidae, Merlucciidae, Moridae and Muraenolepididae: Cod (Gadus morhua, Gadus ogac, Gadus macrocephalus) and Polar cod (Boreogadus saida): Cod of the species Gadus macrocephalus</t>
  </si>
  <si>
    <t>CHAPTER 3 - FISH AND CRUSTACEANS, MOLLUSCS AND OTHER AQUATIC INVERTEBRATES: Fish, dried, salted or in brine; smoked fish, whether or not cooked before or during the smoking process: Fish fillets, dried, salted or in brine, but not smoked: Fish of the families Bregmacerotidae, Euclichthyidae, Gadidae, Macrouridae, Melanonidae, Merlucciidae, Moridae and Muraenolepididae: Cod (Gadus morhua, Gadus ogac, Gadus macrocephalus) and Polar cod (Boreogadus saida): Other</t>
  </si>
  <si>
    <t>CHAPTER 3 - FISH AND CRUSTACEANS, MOLLUSCS AND OTHER AQUATIC INVERTEBRATES: Fish, dried, salted or in brine; smoked fish, whether or not cooked before or during the smoking process; flours, meals and pellets of fish, fit for human consumption: Fish fillets, dried, salted or in brine, but not smoked: Fish of the families Bregmacerotidae, Euclichthyidae, Gadidae, Macrouridae, Melanonidae, Merlucciidae, Moridae and Muraenolepididae: Cod (Gadus morhua, Gadus ogac, Gadus macrocephalus) and Polar cod (Boreogadus saida): Other</t>
  </si>
  <si>
    <t>CHAPTER 3 - FISH AND CRUSTACEANS, MOLLUSCS AND OTHER AQUATIC INVERTEBRATES: Fish, dried, salted or in brine; smoked fish, whether or not cooked before or during the smoking process: Fish fillets, dried, salted or in brine, but not smoked: Fish of the families Bregmacerotidae, Euclichthyidae, Gadidae, Macrouridae, Melanonidae, Merlucciidae, Moridae and Muraenolepididae: Other</t>
  </si>
  <si>
    <t>CHAPTER 3 - FISH AND CRUSTACEANS, MOLLUSCS AND OTHER AQUATIC INVERTEBRATES: Fish, dried, salted or in brine; smoked fish, whether or not cooked before or during the smoking process; flours, meals and pellets of fish, fit for human consumption: Fish fillets, dried, salted or in brine, but not smoked: Fish of the families Bregmacerotidae, Euclichthyidae, Gadidae, Macrouridae, Melanonidae, Merlucciidae, Moridae and Muraenolepididae: Other</t>
  </si>
  <si>
    <t>Pacific salmon (Oncorhynchus nerka, Oncorhynchus gorbuscha, Oncorhynchus keta, Oncorhynchus tschawytscha, Oncorhynchus kisutch, Oncorhynchus masou and Oncorhynchus rhodurus), Atlantic salmon (Salmo salar), and Danube salmon (Hucho hucho), salted or in brine</t>
  </si>
  <si>
    <t>CHAPTER 3 - FISH AND CRUSTACEANS, MOLLUSCS AND OTHER AQUATIC INVERTEBRATES: Fish, dried, salted or in brine; smoked fish, whether or not cooked before or during the smoking process: Fish fillets, dried, salted or in brine, but not smoked: Other: Pacific salmon (Oncorhynchus nerka, Oncorhynchus gorbuscha, Oncorhynchus keta, Oncorhynchus tschawytscha, Oncorhynchus kisutch, Oncorhynchus masou and Oncorhynchus rhodurus), Atlantic salmon (Salmo salar), and Danube salmon (Hucho hucho), salted or in brine</t>
  </si>
  <si>
    <t>CHAPTER 3 - FISH AND CRUSTACEANS, MOLLUSCS AND OTHER AQUATIC INVERTEBRATES: Fish, dried, salted or in brine; smoked fish, whether or not cooked before or during the smoking process; flours, meals and pellets of fish, fit for human consumption: Fish fillets, dried, salted or in brine, but not smoked: Other: Pacific salmon (Oncorhynchus nerka, Oncorhynchus gorbuscha, Oncorhynchus keta, Oncorhynchus tschawytscha, Oncorhynchus kisutch, Oncorhynchus masou and Oncorhynchus rhodurus), Atlantic salmon (Salmo salar), and Danube salmon (Hucho hucho), salted or in brine</t>
  </si>
  <si>
    <t>Lesser or Greenland halibut (Reinhardtius hippoglossoides), salted or in brine</t>
  </si>
  <si>
    <t>CHAPTER 3 - FISH AND CRUSTACEANS, MOLLUSCS AND OTHER AQUATIC INVERTEBRATES: Fish, dried, salted or in brine; smoked fish, whether or not cooked before or during the smoking process: Fish fillets, dried, salted or in brine, but not smoked: Other: Lesser or Greenland halibut (Reinhardtius hippoglossoides), salted or in brine</t>
  </si>
  <si>
    <t>CHAPTER 3 - FISH AND CRUSTACEANS, MOLLUSCS AND OTHER AQUATIC INVERTEBRATES: Fish, dried, salted or in brine; smoked fish, whether or not cooked before or during the smoking process; flours, meals and pellets of fish, fit for human consumption: Fish fillets, dried, salted or in brine, but not smoked: Other: Lesser or Greenland halibut (Reinhardtius hippoglossoides), salted or in brine</t>
  </si>
  <si>
    <t>CHAPTER 3 - FISH AND CRUSTACEANS, MOLLUSCS AND OTHER AQUATIC INVERTEBRATES: Fish, dried, salted or in brine; smoked fish, whether or not cooked before or during the smoking process: Fish fillets, dried, salted or in brine, but not smoked: Other: Other</t>
  </si>
  <si>
    <t>CHAPTER 3 - FISH AND CRUSTACEANS, MOLLUSCS AND OTHER AQUATIC INVERTEBRATES: Fish, dried, salted or in brine; smoked fish, whether or not cooked before or during the smoking process; flours, meals and pellets of fish, fit for human consumption: Fish fillets, dried, salted or in brine, but not smoked: Other: Other</t>
  </si>
  <si>
    <t>Pacific salmon (Oncorhynchus nerka, Oncorhynchus gorbuscha, Oncorhynchus keta, Oncorhynchus tschawytscha, Oncorhynchus kisutch, Oncorhynchus masou and Oncorhynchus rhodurus), Atlantic salmon (Salmo salar) and Danube salmon (Hucho hucho)</t>
  </si>
  <si>
    <t>CHAPTER 3 - FISH AND CRUSTACEANS, MOLLUSCS AND OTHER AQUATIC INVERTEBRATES: Fish, dried, salted or in brine; smoked fish, whether or not cooked before or during the smoking process: Smoked fish, including fillets, other than edible fish offal: Pacific salmon (Oncorhynchus nerka, Oncorhynchus gorbuscha, Oncorhynchus keta, Oncorhynchus tschawytscha, Oncorhynchus kisutch, Oncorhynchus masou and Oncorhynchus rhodurus), Atlantic salmon (Salmo salar) and Danube salmon (Hucho hucho)</t>
  </si>
  <si>
    <t>CHAPTER 3 - FISH AND CRUSTACEANS, MOLLUSCS AND OTHER AQUATIC INVERTEBRATES: Fish, dried, salted or in brine; smoked fish, whether or not cooked before or during the smoking process; flours, meals and pellets of fish, fit for human consumption: Smoked fish, including fillets, other than edible fish offal: Pacific salmon (Oncorhynchus nerka, Oncorhynchus gorbuscha, Oncorhynchus keta, Oncorhynchus tschawytscha, Oncorhynchus kisutch, Oncorhynchus masou and Oncorhynchus rhodurus), Atlantic salmon (Salmo salar) and Danube salmon (Hucho hucho)</t>
  </si>
  <si>
    <t>Herrings (Clupea harengus, Clupea pallasii)</t>
  </si>
  <si>
    <t>CHAPTER 3 - FISH AND CRUSTACEANS, MOLLUSCS AND OTHER AQUATIC INVERTEBRATES: Fish, dried, salted or in brine; smoked fish, whether or not cooked before or during the smoking process: Smoked fish, including fillets, other than edible fish offal: Herrings (Clupea harengus, Clupea pallasii)</t>
  </si>
  <si>
    <t>CHAPTER 3 - FISH AND CRUSTACEANS, MOLLUSCS AND OTHER AQUATIC INVERTEBRATES: Fish, dried, salted or in brine; smoked fish, whether or not cooked before or during the smoking process; flours, meals and pellets of fish, fit for human consumption: Smoked fish, including fillets, other than edible fish offal: Herrings (Clupea harengus, Clupea pallasii)</t>
  </si>
  <si>
    <t>Trout (Salmo trutta, Oncorhynchus mykiss, Oncorhynchus clarki, Oncorhynchus aguabonita, Oncorhynchus gilae, Oncorhynchus apache and Oncorhynchus chrysogaster)</t>
  </si>
  <si>
    <t>CHAPTER 3 - FISH AND CRUSTACEANS, MOLLUSCS AND OTHER AQUATIC INVERTEBRATES: Fish, dried, salted or in brine; smoked fish, whether or not cooked before or during the smoking process: Smoked fish, including fillets, other than edible fish offal: Trout (Salmo trutta, Oncorhynchus mykiss, Oncorhynchus clarki, Oncorhynchus aguabonita, Oncorhynchus gilae, Oncorhynchus apache and Oncorhynchus chrysogaster)</t>
  </si>
  <si>
    <t>CHAPTER 3 - FISH AND CRUSTACEANS, MOLLUSCS AND OTHER AQUATIC INVERTEBRATES: Fish, dried, salted or in brine; smoked fish, whether or not cooked before or during the smoking process; flours, meals and pellets of fish, fit for human consumption: Smoked fish, including fillets, other than edible fish offal: Trout (Salmo trutta, Oncorhynchus mykiss, Oncorhynchus clarki, Oncorhynchus aguabonita, Oncorhynchus gilae, Oncorhynchus apache and Oncorhynchus chrysogaster)</t>
  </si>
  <si>
    <t>Eels (Anguilla spp.)</t>
  </si>
  <si>
    <t>CHAPTER 3 - FISH AND CRUSTACEANS, MOLLUSCS AND OTHER AQUATIC INVERTEBRATES: Fish, dried, salted or in brine; smoked fish, whether or not cooked before or during the smoking process: Smoked fish, including fillets, other than edible fish offal: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Eels (Anguilla spp.)</t>
  </si>
  <si>
    <t>CHAPTER 3 - FISH AND CRUSTACEANS, MOLLUSCS AND OTHER AQUATIC INVERTEBRATES: Fish, dried, salted or in brine; smoked fish, whether or not cooked before or during the smoking process; flours, meals and pellets of fish, fit for human consumption: Smoked fish, including fillets, other than edible fish offal: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Eels (Anguilla spp.)</t>
  </si>
  <si>
    <t>CHAPTER 3 - FISH AND CRUSTACEANS, MOLLUSCS AND OTHER AQUATIC INVERTEBRATES: Fish, dried, salted or in brine; smoked fish, whether or not cooked before or during the smoking process: Smoked fish, including fillets, other than edible fish offal: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Other</t>
  </si>
  <si>
    <t>CHAPTER 3 - FISH AND CRUSTACEANS, MOLLUSCS AND OTHER AQUATIC INVERTEBRATES: Fish, dried, salted or in brine; smoked fish, whether or not cooked before or during the smoking process; flours, meals and pellets of fish, fit for human consumption: Smoked fish, including fillets, other than edible fish offal: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Other</t>
  </si>
  <si>
    <t>Lesser or Greenland halibut (Reinhardtius hippoglossoides)</t>
  </si>
  <si>
    <t>CHAPTER 3 - FISH AND CRUSTACEANS, MOLLUSCS AND OTHER AQUATIC INVERTEBRATES: Fish, dried, salted or in brine; smoked fish, whether or not cooked before or during the smoking process: Smoked fish, including fillets, other than edible fish offal: Other: Lesser or Greenland halibut (Reinhardtius hippoglossoides)</t>
  </si>
  <si>
    <t>CHAPTER 3 - FISH AND CRUSTACEANS, MOLLUSCS AND OTHER AQUATIC INVERTEBRATES: Fish, dried, salted or in brine; smoked fish, whether or not cooked before or during the smoking process; flours, meals and pellets of fish, fit for human consumption: Smoked fish, including fillets, other than edible fish offal: Other: Lesser or Greenland halibut (Reinhardtius hippoglossoides)</t>
  </si>
  <si>
    <t>Atlantic halibut (Hippoglossus hippoglossus)</t>
  </si>
  <si>
    <t>CHAPTER 3 - FISH AND CRUSTACEANS, MOLLUSCS AND OTHER AQUATIC INVERTEBRATES: Fish, dried, salted or in brine; smoked fish, whether or not cooked before or during the smoking process: Smoked fish, including fillets, other than edible fish offal: Other: Atlantic halibut (Hippoglossus hippoglossus)</t>
  </si>
  <si>
    <t>CHAPTER 3 - FISH AND CRUSTACEANS, MOLLUSCS AND OTHER AQUATIC INVERTEBRATES: Fish, dried, salted or in brine; smoked fish, whether or not cooked before or during the smoking process; flours, meals and pellets of fish, fit for human consumption: Smoked fish, including fillets, other than edible fish offal: Other: Atlantic halibut (Hippoglossus hippoglossus)</t>
  </si>
  <si>
    <t>Mackerel (Scomber scombrus, Scomber australasicus, Scomber japonicus)</t>
  </si>
  <si>
    <t>CHAPTER 3 - FISH AND CRUSTACEANS, MOLLUSCS AND OTHER AQUATIC INVERTEBRATES: Fish, dried, salted or in brine; smoked fish, whether or not cooked before or during the smoking process: Smoked fish, including fillets, other than edible fish offal: Other: Mackerel (Scomber scombrus, Scomber australasicus, Scomber japonicus)</t>
  </si>
  <si>
    <t>CHAPTER 3 - FISH AND CRUSTACEANS, MOLLUSCS AND OTHER AQUATIC INVERTEBRATES: Fish, dried, salted or in brine; smoked fish, whether or not cooked before or during the smoking process; flours, meals and pellets of fish, fit for human consumption: Smoked fish, including fillets, other than edible fish offal: Other: Mackerel (Scomber scombrus, Scomber australasicus, Scomber japonicus)</t>
  </si>
  <si>
    <t>CHAPTER 3 - FISH AND CRUSTACEANS, MOLLUSCS AND OTHER AQUATIC INVERTEBRATES: Fish, dried, salted or in brine; smoked fish, whether or not cooked before or during the smoking process: Smoked fish, including fillets, other than edible fish offal: Other: Other</t>
  </si>
  <si>
    <t>CHAPTER 3 - FISH AND CRUSTACEANS, MOLLUSCS AND OTHER AQUATIC INVERTEBRATES: Fish, dried, salted or in brine; smoked fish, whether or not cooked before or during the smoking process; flours, meals and pellets of fish, fit for human consumption: Smoked fish, including fillets, other than edible fish offal: Other: Other</t>
  </si>
  <si>
    <t>Dried, unsalted</t>
  </si>
  <si>
    <t>CHAPTER 3 - FISH AND CRUSTACEANS, MOLLUSCS AND OTHER AQUATIC INVERTEBRATES: Fish, dried, salted or in brine; smoked fish, whether or not cooked before or during the smoking process: Dried fish, other than edible fish offal, whether or not salted but not smoked: Cod (Gadus morhua, Gadus ogac, Gadus macrocephalus): Dried, unsalted</t>
  </si>
  <si>
    <t>CHAPTER 3 - FISH AND CRUSTACEANS, MOLLUSCS AND OTHER AQUATIC INVERTEBRATES: Fish, dried, salted or in brine; smoked fish, whether or not cooked before or during the smoking process; flours, meals and pellets of fish, fit for human consumption: Dried fish, other than edible fish offal, whether or not salted but not smoked: Cod (Gadus morhua, Gadus ogac, Gadus macrocephalus): Dried, unsalted</t>
  </si>
  <si>
    <t>Dried, salted</t>
  </si>
  <si>
    <t>CHAPTER 3 - FISH AND CRUSTACEANS, MOLLUSCS AND OTHER AQUATIC INVERTEBRATES: Fish, dried, salted or in brine; smoked fish, whether or not cooked before or during the smoking process: Dried fish, other than edible fish offal, whether or not salted but not smoked: Cod (Gadus morhua, Gadus ogac, Gadus macrocephalus): Dried, salted</t>
  </si>
  <si>
    <t>CHAPTER 3 - FISH AND CRUSTACEANS, MOLLUSCS AND OTHER AQUATIC INVERTEBRATES: Fish, dried, salted or in brine; smoked fish, whether or not cooked before or during the smoking process; flours, meals and pellets of fish, fit for human consumption: Dried fish, other than edible fish offal, whether or not salted but not smoked: Cod (Gadus morhua, Gadus ogac, Gadus macrocephalus): Dried, salted</t>
  </si>
  <si>
    <t>CHAPTER 3 - FISH AND CRUSTACEANS, MOLLUSCS AND OTHER AQUATIC INVERTEBRATES: Fish, dried, salted or in brine; smoked fish, whether or not cooked before or during the smoking process: Dried fish, other than edible fish offal, whether or not salted but not smoked: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</si>
  <si>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CHAPTER 3 - FISH AND CRUSTACEANS, MOLLUSCS AND OTHER AQUATIC INVERTEBRATES: Fish, dried, salted or in brine; smoked fish, whether or not cooked before or during the smoking process; flours, meals and pellets of fish, fit for human consumption: Dried fish, other than edible fish offal, whether or not salted but not smoked: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</si>
  <si>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Polar Cod (Boreogadus saida)</t>
  </si>
  <si>
    <t>CHAPTER 3 - FISH AND CRUSTACEANS, MOLLUSCS AND OTHER AQUATIC INVERTEBRATES: Fish, dried, salted or in brine; smoked fish, whether or not cooked before or during the smoking process: Dried fish, other than edible fish offal, whether or not salted but not smoked: Fish of the families Bregmacerotidae, Euclichthyidae, Gadidae, Macrouridae, Melanonidae, Merlucciidae, Moridae and Muraenolepididae, other than cod (Gadus morhua, Gadus ogac, Gadus macrocephalus): Polar Cod (Boreogadus saida)</t>
  </si>
  <si>
    <t>CHAPTER 3 - FISH AND CRUSTACEANS, MOLLUSCS AND OTHER AQUATIC INVERTEBRATES: Fish, dried, salted or in brine; smoked fish, whether or not cooked before or during the smoking process; flours, meals and pellets of fish, fit for human consumption: Dried fish, other than edible fish offal, whether or not salted but not smoked: Fish of the families Bregmacerotidae, Euclichthyidae, Gadidae, Macrouridae, Melanonidae, Merlucciidae, Moridae and Muraenolepididae, other than cod (Gadus morhua, Gadus ogac, Gadus macrocephalus): Polar Cod (Boreogadus saida)</t>
  </si>
  <si>
    <t>CHAPTER 3 - FISH AND CRUSTACEANS, MOLLUSCS AND OTHER AQUATIC INVERTEBRATES: Fish, dried, salted or in brine; smoked fish, whether or not cooked before or during the smoking process: Dried fish, other than edible fish offal, whether or not salted but not smoked: Fish of the families Bregmacerotidae, Euclichthyidae, Gadidae, Macrouridae, Melanonidae, Merlucciidae, Moridae and Muraenolepididae, other than cod (Gadus morhua, Gadus ogac, Gadus macrocephalus): Other</t>
  </si>
  <si>
    <t>CHAPTER 3 - FISH AND CRUSTACEANS, MOLLUSCS AND OTHER AQUATIC INVERTEBRATES: Fish, dried, salted or in brine; smoked fish, whether or not cooked before or during the smoking process; flours, meals and pellets of fish, fit for human consumption: Dried fish, other than edible fish offal, whether or not salted but not smoked: Fish of the families Bregmacerotidae, Euclichthyidae, Gadidae, Macrouridae, Melanonidae, Merlucciidae, Moridae and Muraenolepididae, other than cod (Gadus morhua, Gadus ogac, Gadus macrocephalus): Other</t>
  </si>
  <si>
    <t>CHAPTER 3 - FISH AND CRUSTACEANS, MOLLUSCS AND OTHER AQUATIC INVERTEBRATES: Fish, dried, salted or in brine; smoked fish, whether or not cooked before or during the smoking process: Dried fish, other than edible fish offal, whether or not salted but not smoked: 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 Herrings (Clupea harengus, Clupea pallasii)</t>
  </si>
  <si>
    <t>CHAPTER 3 - FISH AND CRUSTACEANS, MOLLUSCS AND OTHER AQUATIC INVERTEBRATES: Fish, dried, salted or in brine; smoked fish, whether or not cooked before or during the smoking process; flours, meals and pellets of fish, fit for human consumption: Dried fish, other than edible fish offal, whether or not salted but not smoked: 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 Herrings (Clupea harengus, Clupea pallasii)</t>
  </si>
  <si>
    <t>Anchovies (Engraulis spp.)</t>
  </si>
  <si>
    <t>CHAPTER 3 - FISH AND CRUSTACEANS, MOLLUSCS AND OTHER AQUATIC INVERTEBRATES: Fish, dried, salted or in brine; smoked fish, whether or not cooked before or during the smoking process: Dried fish, other than edible fish offal, whether or not salted but not smoked: 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 Anchovies (Engraulis spp.)</t>
  </si>
  <si>
    <t>CHAPTER 3 - FISH AND CRUSTACEANS, MOLLUSCS AND OTHER AQUATIC INVERTEBRATES: Fish, dried, salted or in brine; smoked fish, whether or not cooked before or during the smoking process; flours, meals and pellets of fish, fit for human consumption: Dried fish, other than edible fish offal, whether or not salted but not smoked: 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 Anchovies (Engraulis spp.)</t>
  </si>
  <si>
    <t>CHAPTER 3 - FISH AND CRUSTACEANS, MOLLUSCS AND OTHER AQUATIC INVERTEBRATES: Fish, dried, salted or in brine; smoked fish, whether or not cooked before or during the smoking process: Dried fish, other than edible fish offal, whether or not salted but not smoked: 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 Other</t>
  </si>
  <si>
    <t>CHAPTER 3 - FISH AND CRUSTACEANS, MOLLUSCS AND OTHER AQUATIC INVERTEBRATES: Fish, dried, salted or in brine; smoked fish, whether or not cooked before or during the smoking process; flours, meals and pellets of fish, fit for human consumption: Dried fish, other than edible fish offal, whether or not salted but not smoked: 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 Other</t>
  </si>
  <si>
    <t>CHAPTER 3 - FISH AND CRUSTACEANS, MOLLUSCS AND OTHER AQUATIC INVERTEBRATES: Fish, dried, salted or in brine; smoked fish, whether or not cooked before or during the smoking process: Dried fish, other than edible fish offal, whether or not salted but not smoked: Other: Atlantic halibut (Hippoglossus hippoglossus)</t>
  </si>
  <si>
    <t>CHAPTER 3 - FISH AND CRUSTACEANS, MOLLUSCS AND OTHER AQUATIC INVERTEBRATES: Fish, dried, salted or in brine; smoked fish, whether or not cooked before or during the smoking process; flours, meals and pellets of fish, fit for human consumption: Dried fish, other than edible fish offal, whether or not salted but not smoked: Other: Atlantic halibut (Hippoglossus hippoglossus)</t>
  </si>
  <si>
    <t>CHAPTER 3 - FISH AND CRUSTACEANS, MOLLUSCS AND OTHER AQUATIC INVERTEBRATES: Fish, dried, salted or in brine; smoked fish, whether or not cooked before or during the smoking process: Dried fish, other than edible fish offal, whether or not salted but not smoked: Other: Other</t>
  </si>
  <si>
    <t>CHAPTER 3 - FISH AND CRUSTACEANS, MOLLUSCS AND OTHER AQUATIC INVERTEBRATES: Fish, dried, salted or in brine; smoked fish, whether or not cooked before or during the smoking process; flours, meals and pellets of fish, fit for human consumption: Dried fish, other than edible fish offal, whether or not salted but not smoked: Other: Other</t>
  </si>
  <si>
    <t>CHAPTER 3 - FISH AND CRUSTACEANS, MOLLUSCS AND OTHER AQUATIC INVERTEBRATES: Fish, dried, salted or in brine; smoked fish, whether or not cooked before or during the smoking process: Fish, salted but not dried or smoked and fish in brine, other than edible fish offal: Herrings (Clupea harengus, Clupea pallasii)</t>
  </si>
  <si>
    <t>CHAPTER 3 - FISH AND CRUSTACEANS, MOLLUSCS AND OTHER AQUATIC INVERTEBRATES: Fish, dried, salted or in brine; smoked fish, whether or not cooked before or during the smoking process; flours, meals and pellets of fish, fit for human consumption: Fish, salted but not dried or smoked and fish in brine, other than edible fish offal: Herrings (Clupea harengus, Clupea pallasii)</t>
  </si>
  <si>
    <t>Cod (Gadus morhua, Gadus ogac, Gadus macrocephalus)</t>
  </si>
  <si>
    <t>CHAPTER 3 - FISH AND CRUSTACEANS, MOLLUSCS AND OTHER AQUATIC INVERTEBRATES: Fish, dried, salted or in brine; smoked fish, whether or not cooked before or during the smoking process: Fish, salted but not dried or smoked and fish in brine, other than edible fish offal: Cod (Gadus morhua, Gadus ogac, Gadus macrocephalus)</t>
  </si>
  <si>
    <t>CHAPTER 3 - FISH AND CRUSTACEANS, MOLLUSCS AND OTHER AQUATIC INVERTEBRATES: Fish, dried, salted or in brine; smoked fish, whether or not cooked before or during the smoking process; flours, meals and pellets of fish, fit for human consumption: Fish, salted but not dried or smoked and fish in brine, other than edible fish offal: Cod (Gadus morhua, Gadus ogac, Gadus macrocephalus)</t>
  </si>
  <si>
    <t>CHAPTER 3 - FISH AND CRUSTACEANS, MOLLUSCS AND OTHER AQUATIC INVERTEBRATES: Fish, dried, salted or in brine; smoked fish, whether or not cooked before or during the smoking process: Fish, salted but not dried or smoked and fish in brine, other than edible fish offal: Anchovies (Engraulis spp.)</t>
  </si>
  <si>
    <t>CHAPTER 3 - FISH AND CRUSTACEANS, MOLLUSCS AND OTHER AQUATIC INVERTEBRATES: Fish, dried, salted or in brine; smoked fish, whether or not cooked before or during the smoking process; flours, meals and pellets of fish, fit for human consumption: Fish, salted but not dried or smoked and fish in brine, other than edible fish offal: Anchovies (Engraulis spp.)</t>
  </si>
  <si>
    <t>CHAPTER 3 - FISH AND CRUSTACEANS, MOLLUSCS AND OTHER AQUATIC INVERTEBRATES: Fish, dried, salted or in brine; smoked fish, whether or not cooked before or during the smoking process: Fish, salted but not dried or smoked and fish in brine, other than edible fish offal: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</si>
  <si>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CHAPTER 3 - FISH AND CRUSTACEANS, MOLLUSCS AND OTHER AQUATIC INVERTEBRATES: Fish, dried, salted or in brine; smoked fish, whether or not cooked before or during the smoking process; flours, meals and pellets of fish, fit for human consumption: Fish, salted but not dried or smoked and fish in brine, other than edible fish offal: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</si>
  <si>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Polar cod (Boreogadus saida)</t>
  </si>
  <si>
    <t>CHAPTER 3 - FISH AND CRUSTACEANS, MOLLUSCS AND OTHER AQUATIC INVERTEBRATES: Fish, dried, salted or in brine; smoked fish, whether or not cooked before or during the smoking process: Fish, salted but not dried or smoked and fish in brine, other than edible fish offal: Other: Polar cod (Boreogadus saida)</t>
  </si>
  <si>
    <t>CHAPTER 3 - FISH AND CRUSTACEANS, MOLLUSCS AND OTHER AQUATIC INVERTEBRATES: Fish, dried, salted or in brine; smoked fish, whether or not cooked before or during the smoking process; flours, meals and pellets of fish, fit for human consumption: Fish, salted but not dried or smoked and fish in brine, other than edible fish offal: Other: Polar cod (Boreogadus saida)</t>
  </si>
  <si>
    <t>CHAPTER 3 - FISH AND CRUSTACEANS, MOLLUSCS AND OTHER AQUATIC INVERTEBRATES: Fish, dried, salted or in brine; smoked fish, whether or not cooked before or during the smoking process: Fish, salted but not dried or smoked and fish in brine, other than edible fish offal: Other: Atlantic halibut (Hippoglossus hippoglossus)</t>
  </si>
  <si>
    <t>CHAPTER 3 - FISH AND CRUSTACEANS, MOLLUSCS AND OTHER AQUATIC INVERTEBRATES: Fish, dried, salted or in brine; smoked fish, whether or not cooked before or during the smoking process; flours, meals and pellets of fish, fit for human consumption: Fish, salted but not dried or smoked and fish in brine, other than edible fish offal: Other: Atlantic halibut (Hippoglossus hippoglossus)</t>
  </si>
  <si>
    <t>CHAPTER 3 - FISH AND CRUSTACEANS, MOLLUSCS AND OTHER AQUATIC INVERTEBRATES: Fish, dried, salted or in brine; smoked fish, whether or not cooked before or during the smoking process: Fish, salted but not dried or smoked and fish in brine, other than edible fish offal: Other: Pacific salmon (Oncorhynchus nerka, Oncorhynchus gorbuscha, Oncorhynchus keta, Oncorhynchus tschawytscha, Oncorhynchus kisutch, Oncorhynchus masou and Oncorhynchus rhodurus), Atlantic salmon (Salmo salar) and Danube salmon (Hucho hucho)</t>
  </si>
  <si>
    <t>CHAPTER 3 - FISH AND CRUSTACEANS, MOLLUSCS AND OTHER AQUATIC INVERTEBRATES: Fish, dried, salted or in brine; smoked fish, whether or not cooked before or during the smoking process; flours, meals and pellets of fish, fit for human consumption: Fish, salted but not dried or smoked and fish in brine, other than edible fish offal: Other: Pacific salmon (Oncorhynchus nerka, Oncorhynchus gorbuscha, Oncorhynchus keta, Oncorhynchus tschawytscha, Oncorhynchus kisutch, Oncorhynchus masou and Oncorhynchus rhodurus), Atlantic salmon (Salmo salar) and Danube salmon (Hucho hucho)</t>
  </si>
  <si>
    <t>CHAPTER 3 - FISH AND CRUSTACEANS, MOLLUSCS AND OTHER AQUATIC INVERTEBRATES: Fish, dried, salted or in brine; smoked fish, whether or not cooked before or during the smoking process: Fish, salted but not dried or smoked and fish in brine, other than edible fish offal: Other: Other</t>
  </si>
  <si>
    <t>CHAPTER 3 - FISH AND CRUSTACEANS, MOLLUSCS AND OTHER AQUATIC INVERTEBRATES: Fish, dried, salted or in brine; smoked fish, whether or not cooked before or during the smoking process; flours, meals and pellets of fish, fit for human consumption: Fish, salted but not dried or smoked and fish in brine, other than edible fish offal: Other: Other</t>
  </si>
  <si>
    <t>Shark fins</t>
  </si>
  <si>
    <t>CHAPTER 3 - FISH AND CRUSTACEANS, MOLLUSCS AND OTHER AQUATIC INVERTEBRATES: Fish, dried, salted or in brine; smoked fish, whether or not cooked before or during the smoking process: Fish fins, heads, tails, maws and other edible fish offal: Shark fins</t>
  </si>
  <si>
    <t>CHAPTER 3 - FISH AND CRUSTACEANS, MOLLUSCS AND OTHER AQUATIC INVERTEBRATES: Fish, dried, salted or in brine; smoked fish, whether or not cooked before or during the smoking process; flours, meals and pellets of fish, fit for human consumption: Fish fins, heads, tails, maws and other edible fish offal: Shark fins</t>
  </si>
  <si>
    <t>Fish heads, tails and maws</t>
  </si>
  <si>
    <t>CHAPTER 3 - FISH AND CRUSTACEANS, MOLLUSCS AND OTHER AQUATIC INVERTEBRATES: Fish, dried, salted or in brine; smoked fish, whether or not cooked before or during the smoking process: Fish fins, heads, tails, maws and other edible fish offal: Fish heads, tails and maws</t>
  </si>
  <si>
    <t>CHAPTER 3 - FISH AND CRUSTACEANS, MOLLUSCS AND OTHER AQUATIC INVERTEBRATES: Fish, dried, salted or in brine; smoked fish, whether or not cooked before or during the smoking process; flours, meals and pellets of fish, fit for human consumption: Fish fins, heads, tails, maws and other edible fish offal: Fish heads, tails and maws</t>
  </si>
  <si>
    <t>CHAPTER 3 - FISH AND CRUSTACEANS, MOLLUSCS AND OTHER AQUATIC INVERTEBRATES: Fish, dried, salted or in brine; smoked fish, whether or not cooked before or during the smoking process: Fish fins, heads, tails, maws and other edible fish offal: Other</t>
  </si>
  <si>
    <t>CHAPTER 3 - FISH AND CRUSTACEANS, MOLLUSCS AND OTHER AQUATIC INVERTEBRATES: Fish, dried, salted or in brine; smoked fish, whether or not cooked before or during the smoking process; flours, meals and pellets of fish, fit for human consumption: Fish fins, heads, tails, maws and other edible fish offal: Other</t>
  </si>
  <si>
    <t>Crawfish tails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</si>
  <si>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Rock lobster and other sea crawfish (Palinurus spp., Panulirus spp., Jasus spp.): Crawfish tails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</si>
  <si>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Rock lobster and other sea crawfish (Palinurus spp., Panulirus spp., Jasus spp.): Crawfish tails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</si>
  <si>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Rock lobster and other sea crawfish (Palinurus spp., Panulirus spp., Jasus spp.):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</si>
  <si>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Rock lobster and other sea crawfish (Palinurus spp., Panulirus spp., Jasus spp.): Other</t>
  </si>
  <si>
    <t>Whole</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</si>
  <si>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Lobsters (Homarus spp.): Whole</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</si>
  <si>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Lobsters (Homarus spp.): Whole</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</si>
  <si>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Lobsters (Homarus spp.):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</si>
  <si>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Lobsters (Homarus spp.): Other</t>
  </si>
  <si>
    <t>Crabs of the species Paralithodes camchaticus, Chionoecetes spp. or Callinectes sapidus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</si>
  <si>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Crabs: Crabs of the species Paralithodes camchaticus, Chionoecetes spp. or Callinectes sapidus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</si>
  <si>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Crabs: Crabs of the species Paralithodes camchaticus, Chionoecetes spp. or Callinectes sapidus</t>
  </si>
  <si>
    <t>Crabs of the species Cancer pagurus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</si>
  <si>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Crabs: Crabs of the species Cancer pagurus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</si>
  <si>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Crabs: Crabs of the species Cancer pagurus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</si>
  <si>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Crabs: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</si>
  <si>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Crabs: Other</t>
  </si>
  <si>
    <t>Norway lobsters (Nephrops norvegicus)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</si>
  <si>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Norway lobsters (Nephrops norvegicus)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</si>
  <si>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Norway lobsters (Nephrops norvegicus)</t>
  </si>
  <si>
    <t>Shrimps of the species Crangon crangon</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</si>
  <si>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Cold-water shrimps and prawns (Pandalus spp., Crangon crangon): Shrimps of the species Crangon crangon</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</si>
  <si>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Cold-water shrimps and prawns (Pandalus spp., Crangon crangon): Shrimps of the species Crangon crangon</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</si>
  <si>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Cold-water shrimps and prawns (Pandalus spp., Crangon crangon):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</si>
  <si>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Cold-water shrimps and prawns (Pandalus spp., Crangon crangon): Other</t>
  </si>
  <si>
    <t>Deepwater rose shrimps (Parapenaeus longirostris)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</si>
  <si>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Other shrimps and prawns: Deepwater rose shrimps (Parapenaeus longirostris)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</si>
  <si>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Other shrimps and prawns: Deepwater rose shrimps (Parapenaeus longirostris)</t>
  </si>
  <si>
    <t>Shrimps of the genus Penaeus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</si>
  <si>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Other shrimps and prawns: Shrimps of the genus Penaeus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</si>
  <si>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Other shrimps and prawns: Shrimps of the genus Penaeus</t>
  </si>
  <si>
    <t>Shrimps of the family Pandalidae, other than of the genus Pandalus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</si>
  <si>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Other shrimps and prawns: Shrimps of the family Pandalidae, other than of the genus Pandalus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</si>
  <si>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Other shrimps and prawns: Shrimps of the family Pandalidae, other than of the genus Pandalus</t>
  </si>
  <si>
    <t>Shrimps of the genus Crangon, other than of the species Crangon crangon</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</si>
  <si>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Other shrimps and prawns: Shrimps of the genus Crangon, other than of the species Crangon crangon</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</si>
  <si>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Other shrimps and prawns: Shrimps of the genus Crangon, other than of the species Crangon crangon</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</si>
  <si>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Other shrimps and prawns: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</si>
  <si>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Other shrimps and prawns: Other</t>
  </si>
  <si>
    <t>Freshwater crayfish</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</si>
  <si>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Other: Freshwater crayfish</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</si>
  <si>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Other, including flours, meals and pellets of crustaceans, fit for human consumption: Freshwater crayfish</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</si>
  <si>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Other: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</si>
  <si>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Frozen: Other, including flours, meals and pellets of crustaceans, fit for human consumption: Other</t>
  </si>
  <si>
    <t>Rock lobster and other sea crawfish (Palinurus spp., Panulirus spp., Jasus spp.)</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</si>
  <si>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Rock lobster and other sea crawfish (Palinurus spp., Panulirus spp., Jasus spp.)</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</si>
  <si>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Rock lobster and other sea crawfish (Palinurus spp., Panulirus spp., Jasus spp.)</t>
  </si>
  <si>
    <t>Live</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</si>
  <si>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Lobsters (Homarus spp.): Live</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</si>
  <si>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Lobsters (Homarus spp.): Live</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</si>
  <si>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Lobsters (Homarus spp.): Other: Whole</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</si>
  <si>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Lobsters (Homarus spp.): Other: Whole</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</si>
  <si>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Lobsters (Homarus spp.): Other: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</si>
  <si>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Lobsters (Homarus spp.): Other: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</si>
  <si>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Crabs: Crabs of the species Cancer pagurus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</si>
  <si>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Crabs: Crabs of the species Cancer pagurus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</si>
  <si>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Crabs: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</si>
  <si>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Crabs: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</si>
  <si>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Norway lobsters (Nephrops norvegicus)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</si>
  <si>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Norway lobsters (Nephrops norvegicus)</t>
  </si>
  <si>
    <t>Fresh or chilled</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</si>
  <si>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Cold-water shrimps and prawns (Pandalus spp., Crangon crangon): Shrimps of the species Crangon crangon: Fresh or chilled</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</si>
  <si>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Cold-water shrimps and prawns (Pandalus spp., Crangon crangon): Shrimps of the species Crangon crangon: Fresh or chilled</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</si>
  <si>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Cold-water shrimps and prawns (Pandalus spp., Crangon crangon): Shrimps of the species Crangon crangon: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</si>
  <si>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Cold-water shrimps and prawns (Pandalus spp., Crangon crangon): Shrimps of the species Crangon crangon: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</si>
  <si>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Cold-water shrimps and prawns (Pandalus spp., Crangon crangon):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</si>
  <si>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Cold-water shrimps and prawns (Pandalus spp., Crangon crangon):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</si>
  <si>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Other shrimps and prawns: Shrimps of the family Pandalidae, other than of the genus Pandalus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</si>
  <si>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Other shrimps and prawns: Shrimps of the family Pandalidae, other than of the genus Pandalus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</si>
  <si>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Other shrimps and prawns: Shrimps of the genus Crangon, other than of the species Crangon crangon</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</si>
  <si>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Other shrimps and prawns: Shrimps of the genus Crangon, other than of the species Crangon crangon</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</si>
  <si>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Other shrimps and prawns: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</si>
  <si>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Other shrimps and prawns: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</si>
  <si>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Other: Freshwater crayfish</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</si>
  <si>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Other, including flours, meals and pellets of crustaceans, fit for human consumption: Freshwater crayfish</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</si>
  <si>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Other: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</si>
  <si>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Live, fresh or chilled: Other, including flours, meals and pellets of crustaceans, fit for human consumption: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</si>
  <si>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 Rock lobster and other sea crawfish (Palinurus spp., Panulirus spp., Jasus spp.)</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</si>
  <si>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Other: Rock lobster and other sea crawfish (Palinurus spp., Panulirus spp., Jasus spp.)</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</si>
  <si>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 Lobsters (Homarus spp.): Whole</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</si>
  <si>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Other: Lobsters (Homarus spp.): Whole</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</si>
  <si>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 Lobsters (Homarus spp.):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</si>
  <si>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Other: Lobsters (Homarus spp.):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</si>
  <si>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 Crabs: Crabs of the species Cancer pagurus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</si>
  <si>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Other: Crabs: Crabs of the species Cancer pagurus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</si>
  <si>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 Crabs: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</si>
  <si>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Other: Crabs: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</si>
  <si>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 Norway lobsters (Nephrops norvegicus)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</si>
  <si>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Other: Norway lobsters (Nephrops norvegicus)</t>
  </si>
  <si>
    <t>Cooked by steaming or by boiling in water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</si>
  <si>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 Shrimps and prawns: Cold-water shrimps and prawns (Pandalus spp., Crangon crangon): Shrimps of the species Crangon crangon: Cooked by steaming or by boiling in water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</si>
  <si>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Other: Shrimps and prawns: Cold-water shrimps and prawns (Pandalus spp., Crangon crangon): Shrimps of the species Crangon crangon: Cooked by steaming or by boiling in water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</si>
  <si>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 Shrimps and prawns: Cold-water shrimps and prawns (Pandalus spp., Crangon crangon): Shrimps of the species Crangon crangon: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</si>
  <si>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Other: Shrimps and prawns: Cold-water shrimps and prawns (Pandalus spp., Crangon crangon): Shrimps of the species Crangon crangon: Other</t>
  </si>
  <si>
    <t>Pandalus spp.</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</si>
  <si>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 Shrimps and prawns: Cold-water shrimps and prawns (Pandalus spp., Crangon crangon): Pandalus spp.</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</si>
  <si>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Other: Shrimps and prawns: Cold-water shrimps and prawns (Pandalus spp., Crangon crangon): Pandalus spp.</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</si>
  <si>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 Shrimps and prawns: Other shrimps and prawns: Shrimps of the family Pandalidae, other than of the genus Pandalus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</si>
  <si>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Other: Shrimps and prawns: Other shrimps and prawns: Shrimps of the family Pandalidae, other than of the genus Pandalus</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</si>
  <si>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 Shrimps and prawns: Other shrimps and prawns: Shrimps of the genus Crangon, other than of the species Crangon crangon</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</si>
  <si>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Other: Shrimps and prawns: Other shrimps and prawns: Shrimps of the genus Crangon, other than of the species Crangon crangon</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</si>
  <si>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 Shrimps and prawns: Other shrimps and prawns: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</si>
  <si>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Other: Shrimps and prawns: Other shrimps and prawns: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</si>
  <si>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 Other: Freshwater crayfish</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</si>
  <si>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Other: Other, including flours, meals and pellets of crustaceans, fit for human consumption: Freshwater crayfish</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</si>
  <si>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 Other: Other</t>
  </si>
  <si>
    <t>CHAPTER 3 - FISH AND CRUSTACEANS, MOLLUSCS AND OTHER AQUATIC INVERTEBRATES: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Other: Other, including flours, meals and pellets of crustaceans, fit for human consumption: Other</t>
  </si>
  <si>
    <t>Flat oysters (of the genus Ostrea), live and weighing (shell included) not more than 40 g each</t>
  </si>
  <si>
    <t>CHAPTER 3 - FISH AND CRUSTACEANS, MOLLUSCS AND OTHER AQUATIC INVERTEBRATES: Molluscs, whether in shell or not, live, fresh, chilled, frozen, dried, salted or in brine; smoked molluscs, whether in shell or not, whether or not cooked before or during the smoking process: Oysters: Live, fresh or chilled: Flat oysters (of the genus Ostrea), live and weighing (shell included) not more than 40 g each</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</si>
  <si>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Oysters: Live, fresh or chilled: Flat oysters (of the genus Ostrea), live and weighing (shell included) not more than 40 g each</t>
  </si>
  <si>
    <t>CHAPTER 3 - FISH AND CRUSTACEANS, MOLLUSCS AND OTHER AQUATIC INVERTEBRATES: Molluscs, whether in shell or not, live, fresh, chilled, frozen, dried, salted or in brine; smoked molluscs, whether in shell or not, whether or not cooked before or during the smoking process: Oysters: Live, fresh or chilled: Other</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</si>
  <si>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Oysters: Live, fresh or chilled: Other</t>
  </si>
  <si>
    <t>Frozen</t>
  </si>
  <si>
    <t>CHAPTER 3 - FISH AND CRUSTACEANS, MOLLUSCS AND OTHER AQUATIC INVERTEBRATES: Molluscs, whether in shell or not, live, fresh, chilled, frozen, dried, salted or in brine; smoked molluscs, whether in shell or not, whether or not cooked before or during the smoking process: Oysters: Frozen</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</si>
  <si>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Oysters: Frozen</t>
  </si>
  <si>
    <t>CHAPTER 3 - FISH AND CRUSTACEANS, MOLLUSCS AND OTHER AQUATIC INVERTEBRATES: Molluscs, whether in shell or not, live, fresh, chilled, frozen, dried, salted or in brine; smoked molluscs, whether in shell or not, whether or not cooked before or during the smoking process: Oysters: Other</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</si>
  <si>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Oysters: Other</t>
  </si>
  <si>
    <t>Coquilles St Jacques (Pecten maximus)</t>
  </si>
  <si>
    <t>CHAPTER 3 - FISH AND CRUSTACEANS, MOLLUSCS AND OTHER AQUATIC INVERTEBRATES: Molluscs, whether in shell or not, live, fresh, chilled, frozen, dried, salted or in brine; smoked molluscs, whether in shell or not, whether or not cooked before or during the smoking process: Scallops and other molluscs of the family Pectinidae: Frozen: Scallops, including queen scallops, of the genera Pecten, Chlamys or Placopecten: Coquilles St Jacques (Pecten maximus)</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</si>
  <si>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Scallops, including queen scallops, of the genera Pecten, Chlamys or Placopecten: Frozen: Coquilles St Jacques (Pecten maximus)</t>
  </si>
  <si>
    <t>CHAPTER 3 - FISH AND CRUSTACEANS, MOLLUSCS AND OTHER AQUATIC INVERTEBRATES: Molluscs, whether in shell or not, live, fresh, chilled, frozen, dried, salted or in brine; smoked molluscs, whether in shell or not, whether or not cooked before or during the smoking process: Scallops and other molluscs of the family Pectinidae: Frozen: Scallops, including queen scallops, of the genera Pecten, Chlamys or Placopecten: Other</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</si>
  <si>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Scallops, including queen scallops, of the genera Pecten, Chlamys or Placopecten: Frozen: Other</t>
  </si>
  <si>
    <t>Mytilus spp.</t>
  </si>
  <si>
    <t>CHAPTER 3 - FISH AND CRUSTACEANS, MOLLUSCS AND OTHER AQUATIC INVERTEBRATES: Molluscs, whether in shell or not, live, fresh, chilled, frozen, dried, salted or in brine; smoked molluscs, whether in shell or not, whether or not cooked before or during the smoking process: Mussels (Mytilus spp., Perna spp.): Live, fresh or chilled: Mytilus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</si>
  <si>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Mussels (Mytilus spp., Perna spp.): Live, fresh or chilled: Mytilus spp.</t>
  </si>
  <si>
    <t>Perna spp.</t>
  </si>
  <si>
    <t>CHAPTER 3 - FISH AND CRUSTACEANS, MOLLUSCS AND OTHER AQUATIC INVERTEBRATES: Molluscs, whether in shell or not, live, fresh, chilled, frozen, dried, salted or in brine; smoked molluscs, whether in shell or not, whether or not cooked before or during the smoking process: Mussels (Mytilus spp., Perna spp.): Live, fresh or chilled: Perna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</si>
  <si>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Mussels (Mytilus spp., Perna spp.): Live, fresh or chilled: Perna spp.</t>
  </si>
  <si>
    <t>CHAPTER 3 - FISH AND CRUSTACEANS, MOLLUSCS AND OTHER AQUATIC INVERTEBRATES: Molluscs, whether in shell or not, live, fresh, chilled, frozen, dried, salted or in brine; smoked molluscs, whether in shell or not, whether or not cooked before or during the smoking process: Mussels (Mytilus spp., Perna spp.): Frozen: Mytilus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</si>
  <si>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Mussels (Mytilus spp., Perna spp.): Frozen: Mytilus spp.</t>
  </si>
  <si>
    <t>CHAPTER 3 - FISH AND CRUSTACEANS, MOLLUSCS AND OTHER AQUATIC INVERTEBRATES: Molluscs, whether in shell or not, live, fresh, chilled, frozen, dried, salted or in brine; smoked molluscs, whether in shell or not, whether or not cooked before or during the smoking process: Mussels (Mytilus spp., Perna spp.): Frozen: Perna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</si>
  <si>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Mussels (Mytilus spp., Perna spp.): Frozen: Perna spp.</t>
  </si>
  <si>
    <t>CHAPTER 3 - FISH AND CRUSTACEANS, MOLLUSCS AND OTHER AQUATIC INVERTEBRATES: Molluscs, whether in shell or not, live, fresh, chilled, frozen, dried, salted or in brine; smoked molluscs, whether in shell or not, whether or not cooked before or during the smoking process: Mussels (Mytilus spp., Perna spp.): Other: Mytilus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</si>
  <si>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Mussels (Mytilus spp., Perna spp.): Other: Mytilus spp.</t>
  </si>
  <si>
    <t>CHAPTER 3 - FISH AND CRUSTACEANS, MOLLUSCS AND OTHER AQUATIC INVERTEBRATES: Molluscs, whether in shell or not, live, fresh, chilled, frozen, dried, salted or in brine; smoked molluscs, whether in shell or not, whether or not cooked before or during the smoking process: Mussels (Mytilus spp., Perna spp.): Other: Perna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</si>
  <si>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Mussels (Mytilus spp., Perna spp.): Other: Perna spp.</t>
  </si>
  <si>
    <t>Cuttle fish (Sepia officinalis, Rossia macrosoma, Sepiola spp.)</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</si>
  <si>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Live, fresh or chilled: Cuttle fish (Sepia officinalis, Rossia macrosoma, Sepiola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</si>
  <si>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Live, fresh or chilled: Cuttle fish (Sepia officinalis, Rossia macrosoma, Sepiola spp.)</t>
  </si>
  <si>
    <t>Loligo spp.</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</si>
  <si>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Live, fresh or chilled: Loligo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</si>
  <si>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Live, fresh or chilled: Loligo spp.</t>
  </si>
  <si>
    <t>Squid (Ommastrephes spp., Nototodarus spp., Sepioteuthis spp.)</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</si>
  <si>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Live, fresh or chilled: Squid (Ommastrephes spp., Nototodarus spp., Sepioteuthis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</si>
  <si>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Live, fresh or chilled: Squid (Ommastrephes spp., Nototodarus spp., Sepioteuthis spp.)</t>
  </si>
  <si>
    <t>European flying squid (Todarodes sagittatus)</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</si>
  <si>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Live, fresh or chilled: European flying squid (Todarodes sagittatus)</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</si>
  <si>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Live, fresh or chilled: European flying squid (Todarodes sagittatus)</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</si>
  <si>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Live, fresh or chilled: Other</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</si>
  <si>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Live, fresh or chilled: Other</t>
  </si>
  <si>
    <t>Lesser cuttle fish (Sepiola rondeleti)</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</si>
  <si>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Frozen: Cuttle fish (Sepia officinalis, Rossia macrosoma, Sepiola spp.): Sepiola spp.: Lesser cuttle fish (Sepiola rondeleti)</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</si>
  <si>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Frozen: Cuttle fish (Sepia officinalis, Rossia macrosoma, Sepiola spp.): Sepiola spp.: Lesser cuttle fish (Sepiola rondeleti)</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</si>
  <si>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Frozen: Cuttle fish (Sepia officinalis, Rossia macrosoma, Sepiola spp.): Sepiola spp.: Other</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</si>
  <si>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Frozen: Cuttle fish (Sepia officinalis, Rossia macrosoma, Sepiola spp.): Sepiola spp.: Other</t>
  </si>
  <si>
    <t>Sepia officinalis, Rossia macrosoma</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</si>
  <si>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Frozen: Cuttle fish (Sepia officinalis, Rossia macrosoma, Sepiola spp.): Sepia officinalis, Rossia macrosoma</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</si>
  <si>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Frozen: Cuttle fish (Sepia officinalis, Rossia macrosoma, Sepiola spp.): Sepia officinalis, Rossia macrosoma</t>
  </si>
  <si>
    <t>Loligo vulgaris</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</si>
  <si>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Frozen: Loligo spp.: Loligo vulgaris</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</si>
  <si>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Frozen: Loligo spp.: Loligo vulgaris</t>
  </si>
  <si>
    <t>Loligo pealei</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</si>
  <si>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Frozen: Loligo spp.: Loligo pealei</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</si>
  <si>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Frozen: Loligo spp.: Loligo pealei</t>
  </si>
  <si>
    <t>Loligo gahi</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</si>
  <si>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Frozen: Loligo spp.: Loligo gahi</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</si>
  <si>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Frozen: Loligo spp.: Loligo gahi</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</si>
  <si>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Frozen: Loligo spp.: Other</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</si>
  <si>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Frozen: Loligo spp.: Other</t>
  </si>
  <si>
    <t>Ommastrephes spp., other than Ommastrephes sagittatus, Nototodarus spp., Sepioteuthis spp.</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</si>
  <si>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Frozen: Ommastrephes spp., other than Ommastrephes sagittatus, Nototodarus spp., Sepioteuthis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</si>
  <si>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Frozen: Ommastrephes spp., other than Ommastrephes sagittatus, Nototodarus spp., Sepioteuthis spp.</t>
  </si>
  <si>
    <t>Illex spp.</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</si>
  <si>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Frozen: Illex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</si>
  <si>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Frozen: Illex spp.</t>
  </si>
  <si>
    <t>European flying squid (Todarodes sagittatus) (Ommastrephes sagittatus)</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</si>
  <si>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Frozen: European flying squid (Todarodes sagittatus) (Ommastrephes sagittatus)</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</si>
  <si>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Frozen: European flying squid (Todarodes sagittatus) (Ommastrephes sagittatus)</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</si>
  <si>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Frozen: Other</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</si>
  <si>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Frozen: Other</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</si>
  <si>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Other: Cuttle fish (Sepia officinalis, Rossia macrosoma, Sepiola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</si>
  <si>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Other: Cuttle fish (Sepia officinalis, Rossia macrosoma, Sepiola spp.)</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</si>
  <si>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Other: Loligo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</si>
  <si>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Other: Loligo spp.</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</si>
  <si>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Other: Ommastrephes spp., other than Ommastrephes sagittatus, Nototodarus spp., Sepioteuthis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</si>
  <si>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Other: Ommastrephes spp., other than Ommastrephes sagittatus, Nototodarus spp., Sepioteuthis spp.</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</si>
  <si>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Other: European flying squid (Todarodes sagittatus) (Ommastrephes sagittatus)</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</si>
  <si>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Other: European flying squid (Todarodes sagittatus) (Ommastrephes sagittatus)</t>
  </si>
  <si>
    <t>CHAPTER 3 - FISH AND CRUSTACEANS, MOLLUSCS AND OTHER AQUATIC INVERTEBRATES: Molluscs, whether in shell or not, live, fresh, chilled, frozen, dried, salted or in brine; smoked molluscs, whether in shell or not, whether or not cooked before or during the smoking process: Cuttle fish and squid: Other: Other</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</si>
  <si>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Cuttle fish and squid: Other: Other</t>
  </si>
  <si>
    <t>Live, fresh or chilled</t>
  </si>
  <si>
    <t>CHAPTER 3 - FISH AND CRUSTACEANS, MOLLUSCS AND OTHER AQUATIC INVERTEBRATES: Molluscs, whether in shell or not, live, fresh, chilled, frozen, dried, salted or in brine; smoked molluscs, whether in shell or not, whether or not cooked before or during the smoking process: Octopus (Octopus spp.): Live, fresh or chilled</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</si>
  <si>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Octopus (Octopus spp.): Live, fresh or chilled</t>
  </si>
  <si>
    <t>CHAPTER 3 - FISH AND CRUSTACEANS, MOLLUSCS AND OTHER AQUATIC INVERTEBRATES: Molluscs, whether in shell or not, live, fresh, chilled, frozen, dried, salted or in brine; smoked molluscs, whether in shell or not, whether or not cooked before or during the smoking process: Octopus (Octopus spp.): Frozen</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</si>
  <si>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Octopus (Octopus spp.): Frozen</t>
  </si>
  <si>
    <t>CHAPTER 3 - FISH AND CRUSTACEANS, MOLLUSCS AND OTHER AQUATIC INVERTEBRATES: Molluscs, whether in shell or not, live, fresh, chilled, frozen, dried, salted or in brine; smoked molluscs, whether in shell or not, whether or not cooked before or during the smoking process: Octopus (Octopus spp.): Other</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</si>
  <si>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Octopus (Octopus spp.): Other</t>
  </si>
  <si>
    <t>Snails, other than sea snails</t>
  </si>
  <si>
    <t>CHAPTER 3 - FISH AND CRUSTACEANS, MOLLUSCS AND OTHER AQUATIC INVERTEBRATES: Molluscs, whether in shell or not, live, fresh, chilled, frozen, dried, salted or in brine; smoked molluscs, whether in shell or not, whether or not cooked before or during the smoking process: Snails, other than sea snails</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</si>
  <si>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Snails, other than sea snails</t>
  </si>
  <si>
    <t>CHAPTER 3 - FISH AND CRUSTACEANS, MOLLUSCS AND OTHER AQUATIC INVERTEBRATES: Molluscs, whether in shell or not, live, fresh, chilled, frozen, dried, salted or in brine; smoked molluscs, whether in shell or not, whether or not cooked before or during the smoking process: Clams, cockles and ark shells (families Arcidae, Arcticidae, Cardiidae, Donacidae, Hiatellidae, Mactridae, Mesodesmatidae, Myidae, Semelidae, Solecurtidae, Solenidae, Tridacnidae and Veneridae): Live, fresh or chilled</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</si>
  <si>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Clams, cockles and ark shells (families Arcidae, Arcticidae, Cardiidae, Donacidae, Hiatellidae, Mactridae, Mesodesmatidae, Myidae, Semelidae, Solecurtidae, Solenidae, Tridacnidae and Veneridae): Live, fresh or chilled</t>
  </si>
  <si>
    <t>Striped venus or other species of the family Veneridae</t>
  </si>
  <si>
    <t>CHAPTER 3 - FISH AND CRUSTACEANS, MOLLUSCS AND OTHER AQUATIC INVERTEBRATES: Molluscs, whether in shell or not, live, fresh, chilled, frozen, dried, salted or in brine; smoked molluscs, whether in shell or not, whether or not cooked before or during the smoking process: Clams, cockles and ark shells (families Arcidae, Arcticidae, Cardiidae, Donacidae, Hiatellidae, Mactridae, Mesodesmatidae, Myidae, Semelidae, Solecurtidae, Solenidae, Tridacnidae and Veneridae): Frozen: Striped venus or other species of the family Veneridae</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</si>
  <si>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Clams, cockles and ark shells (families Arcidae, Arcticidae, Cardiidae, Donacidae, Hiatellidae, Mactridae, Mesodesmatidae, Myidae, Semelidae, Solecurtidae, Solenidae, Tridacnidae and Veneridae): Frozen: Striped venus or other species of the family Veneridae</t>
  </si>
  <si>
    <t>CHAPTER 3 - FISH AND CRUSTACEANS, MOLLUSCS AND OTHER AQUATIC INVERTEBRATES: Molluscs, whether in shell or not, live, fresh, chilled, frozen, dried, salted or in brine; smoked molluscs, whether in shell or not, whether or not cooked before or during the smoking process: Clams, cockles and ark shells (families Arcidae, Arcticidae, Cardiidae, Donacidae, Hiatellidae, Mactridae, Mesodesmatidae, Myidae, Semelidae, Solecurtidae, Solenidae, Tridacnidae and Veneridae): Frozen: Other</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</si>
  <si>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Clams, cockles and ark shells (families Arcidae, Arcticidae, Cardiidae, Donacidae, Hiatellidae, Mactridae, Mesodesmatidae, Myidae, Semelidae, Solecurtidae, Solenidae, Tridacnidae and Veneridae): Frozen: Other</t>
  </si>
  <si>
    <t>CHAPTER 3 - FISH AND CRUSTACEANS, MOLLUSCS AND OTHER AQUATIC INVERTEBRATES: Molluscs, whether in shell or not, live, fresh, chilled, frozen, dried, salted or in brine; smoked molluscs, whether in shell or not, whether or not cooked before or during the smoking process: Clams, cockles and ark shells (families Arcidae, Arcticidae, Cardiidae, Donacidae, Hiatellidae, Mactridae, Mesodesmatidae, Myidae, Semelidae, Solecurtidae, Solenidae, Tridacnidae and Veneridae): Other</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</si>
  <si>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Clams, cockles and ark shells (families Arcidae, Arcticidae, Cardiidae, Donacidae, Hiatellidae, Mactridae, Mesodesmatidae, Myidae, Semelidae, Solecurtidae, Solenidae, Tridacnidae and Veneridae): Other</t>
  </si>
  <si>
    <t>Live, fresh or chilled abalone (Haliotis spp.)</t>
  </si>
  <si>
    <t>CHAPTER 3 - FISH AND CRUSTACEANS, MOLLUSCS AND OTHER AQUATIC INVERTEBRATES: Molluscs, whether in shell or not, live, fresh, chilled, frozen, dried, salted or in brine; smoked molluscs, whether in shell or not, whether or not cooked before or during the smoking process: Abalone (Haliotis spp.) and stromboid conchs (Strombus spp.): Live, fresh or chilled abalone (Haliotis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</si>
  <si>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Abalone (Haliotis spp.) and stromboid conchs (Strombus spp.): Live, fresh or chilled abalone (Haliotis spp.)</t>
  </si>
  <si>
    <t>Live, fresh or chilled stromboid conchs (Strombus spp.)</t>
  </si>
  <si>
    <t>CHAPTER 3 - FISH AND CRUSTACEANS, MOLLUSCS AND OTHER AQUATIC INVERTEBRATES: Molluscs, whether in shell or not, live, fresh, chilled, frozen, dried, salted or in brine; smoked molluscs, whether in shell or not, whether or not cooked before or during the smoking process: Abalone (Haliotis spp.) and stromboid conchs (Strombus spp.): Live, fresh or chilled stromboid conchs (Strombus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</si>
  <si>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Abalone (Haliotis spp.) and stromboid conchs (Strombus spp.): Live, fresh or chilled stromboid conchs (Strombus spp.)</t>
  </si>
  <si>
    <t>Frozen abalone (Haliotis spp.)</t>
  </si>
  <si>
    <t>CHAPTER 3 - FISH AND CRUSTACEANS, MOLLUSCS AND OTHER AQUATIC INVERTEBRATES: Molluscs, whether in shell or not, live, fresh, chilled, frozen, dried, salted or in brine; smoked molluscs, whether in shell or not, whether or not cooked before or during the smoking process: Abalone (Haliotis spp.) and stromboid conchs (Strombus spp.): Frozen abalone (Haliotis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</si>
  <si>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Abalone (Haliotis spp.) and stromboid conchs (Strombus spp.): Frozen abalone (Haliotis spp.)</t>
  </si>
  <si>
    <t>Frozen stromboid conchs (Strombus spp.)</t>
  </si>
  <si>
    <t>CHAPTER 3 - FISH AND CRUSTACEANS, MOLLUSCS AND OTHER AQUATIC INVERTEBRATES: Molluscs, whether in shell or not, live, fresh, chilled, frozen, dried, salted or in brine; smoked molluscs, whether in shell or not, whether or not cooked before or during the smoking process: Abalone (Haliotis spp.) and stromboid conchs (Strombus spp.): Frozen stromboid conchs (Strombus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</si>
  <si>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Abalone (Haliotis spp.) and stromboid conchs (Strombus spp.): Frozen stromboid conchs (Strombus spp.)</t>
  </si>
  <si>
    <t>Other abalone (Haliotis spp.)</t>
  </si>
  <si>
    <t>CHAPTER 3 - FISH AND CRUSTACEANS, MOLLUSCS AND OTHER AQUATIC INVERTEBRATES: Molluscs, whether in shell or not, live, fresh, chilled, frozen, dried, salted or in brine; smoked molluscs, whether in shell or not, whether or not cooked before or during the smoking process: Abalone (Haliotis spp.) and stromboid conchs (Strombus spp.): Other abalone (Haliotis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</si>
  <si>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Abalone (Haliotis spp.) and stromboid conchs (Strombus spp.): Other abalone (Haliotis spp.)</t>
  </si>
  <si>
    <t>Other stromboid conchs (Strombus spp.)</t>
  </si>
  <si>
    <t>CHAPTER 3 - FISH AND CRUSTACEANS, MOLLUSCS AND OTHER AQUATIC INVERTEBRATES: Molluscs, whether in shell or not, live, fresh, chilled, frozen, dried, salted or in brine; smoked molluscs, whether in shell or not, whether or not cooked before or during the smoking process: Abalone (Haliotis spp.) and stromboid conchs (Strombus spp.): Other stromboid conchs (Strombus spp.)</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</si>
  <si>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Abalone (Haliotis spp.) and stromboid conchs (Strombus spp.): Other stromboid conchs (Strombus spp.)</t>
  </si>
  <si>
    <t>CHAPTER 3 - FISH AND CRUSTACEANS, MOLLUSCS AND OTHER AQUATIC INVERTEBRATES: Molluscs, whether in shell or not, live, fresh, chilled, frozen, dried, salted or in brine; smoked molluscs, whether in shell or not, whether or not cooked before or during the smoking process: Other: Live, fresh or chilled</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</si>
  <si>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Other, including flours, meals and pellets, fit for human consumption : Live, fresh or chilled</t>
  </si>
  <si>
    <t>CHAPTER 3 - FISH AND CRUSTACEANS, MOLLUSCS AND OTHER AQUATIC INVERTEBRATES: Molluscs, whether in shell or not, live, fresh, chilled, frozen, dried, salted or in brine; smoked molluscs, whether in shell or not, whether or not cooked before or during the smoking process: Other: Frozen</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</si>
  <si>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Other, including flours, meals and pellets, fit for human consumption : Frozen</t>
  </si>
  <si>
    <t>CHAPTER 3 - FISH AND CRUSTACEANS, MOLLUSCS AND OTHER AQUATIC INVERTEBRATES: Molluscs, whether in shell or not, live, fresh, chilled, frozen, dried, salted or in brine; smoked molluscs, whether in shell or not, whether or not cooked before or during the smoking process: Other: Other</t>
  </si>
  <si>
    <t>CHAPTER 3 - FISH AND CRUSTACEANS, MOLLUSCS AND OTHER AQUATIC INVERTEBRATES: Molluscs, whether in shell or not, live, fresh, chilled, frozen, dried, salted or in brine; smoked molluscs, whether in shell or not, whether or not cooked before or during the smoking process; flours, meals and pellets of molluscs, fit for human consumption: Other, including flours, meals and pellets, fit for human consumption : Other</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</si>
  <si>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Sea cucumbers (Stichopus japonicus, Holothuroidea): Live, fresh or chilled</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</si>
  <si>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flours, meals and pellets of aquatic invertebrates other than crustaceans and molluscs, fit for human consumption: Sea cucumbers (Stichopus japonicus, Holothuroidea): Live, fresh or chilled</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</si>
  <si>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Sea cucumbers (Stichopus japonicus, Holothuroidea): Frozen</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</si>
  <si>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flours, meals and pellets of aquatic invertebrates other than crustaceans and molluscs, fit for human consumption: Sea cucumbers (Stichopus japonicus, Holothuroidea): Frozen</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</si>
  <si>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Sea cucumbers (Stichopus japonicus, Holothuroidea): Other</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</si>
  <si>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flours, meals and pellets of aquatic invertebrates other than crustaceans and molluscs, fit for human consumption: Sea cucumbers (Stichopus japonicus, Holothuroidea): Other</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</si>
  <si>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Sea urchins (Strongylocentrotus spp., Paracentrotus lividus, Loxechinus albus, Echinus esculentus): Live, fresh or chilled</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</si>
  <si>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flours, meals and pellets of aquatic invertebrates other than crustaceans and molluscs, fit for human consumption: Sea urchins (Strongylocentrotus spp., Paracentrotus lividus, Loxechinus albus, Echinus esculentus): Live, fresh or chilled</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</si>
  <si>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Sea urchins (Strongylocentrotus spp., Paracentrotus lividus, Loxechinus albus, Echinus esculentus): Frozen</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</si>
  <si>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flours, meals and pellets of aquatic invertebrates other than crustaceans and molluscs, fit for human consumption: Sea urchins (Strongylocentrotus spp., Paracentrotus lividus, Loxechinus albus, Echinus esculentus): Frozen</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</si>
  <si>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Sea urchins (Strongylocentrotus spp., Paracentrotus lividus, Loxechinus albus, Echinus esculentus): Other</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</si>
  <si>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flours, meals and pellets of aquatic invertebrates other than crustaceans and molluscs, fit for human consumption: Sea urchins (Strongylocentrotus spp., Paracentrotus lividus, Loxechinus albus, Echinus esculentus): Other</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</si>
  <si>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Jellyfish (Rhopilema spp.): Frozen</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</si>
  <si>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flours, meals and pellets of aquatic invertebrates other than crustaceans and molluscs, fit for human consumption: Jellyfish (Rhopilema spp.): Frozen</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</si>
  <si>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Jellyfish (Rhopilema spp.): Other</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</si>
  <si>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flours, meals and pellets of aquatic invertebrates other than crustaceans and molluscs, fit for human consumption: Jellyfish (Rhopilema spp.): Other</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</si>
  <si>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Other: Live, fresh or chilled</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</si>
  <si>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flours, meals and pellets of aquatic invertebrates other than crustaceans and molluscs, fit for human consumption: Other: Live, fresh or chilled</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</si>
  <si>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Other: Frozen</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</si>
  <si>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flours, meals and pellets of aquatic invertebrates other than crustaceans and molluscs, fit for human consumption: Other: Frozen</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</si>
  <si>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Other: Other</t>
  </si>
  <si>
    <t>CHAPTER 3 - FISH AND CRUSTACEANS, MOLLUSCS AND OTHER AQUATIC INVERTEBRATES: Aquatic invertebrates other than crustaceans and molluscs, live, fresh, chilled, frozen, dried, salted or in brine; smoked aquatic invertebrates other than crustaceans and molluscs, whether or not cooked before or during the smoking process; flours, meals and pellets of aquatic invertebrates other than crustaceans and molluscs, fit for human consumption: Other: Other</t>
  </si>
  <si>
    <t>Not exceeding 1,5 %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</si>
  <si>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Not flavoured nor containing added fruit, nuts or cocoa: In powder, granules or other solid forms: Not containing added sugar or other sweetening matter, of a fat content, by weight: Not exceeding 1,5 %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</si>
  <si>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Not flavoured nor containing added fruit, nuts or cocoa: In powder, granules or other solid forms: Not containing added sugar or other sweetening matter, of a fat content, by weight: Not exceeding 1,5 %</t>
  </si>
  <si>
    <t>Exceeding 1,5 % but not exceeding 27 %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</si>
  <si>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Not flavoured nor containing added fruit, nuts or cocoa: In powder, granules or other solid forms: Not containing added sugar or other sweetening matter, of a fat content, by weight: Exceeding 1,5 % but not exceeding 27 %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</si>
  <si>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Not flavoured nor containing added fruit, nuts or cocoa: In powder, granules or other solid forms: Not containing added sugar or other sweetening matter, of a fat content, by weight: Exceeding 1,5 % but not exceeding 27 %</t>
  </si>
  <si>
    <t>Exceeding 27 %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</si>
  <si>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Not flavoured nor containing added fruit, nuts or cocoa: In powder, granules or other solid forms: Not containing added sugar or other sweetening matter, of a fat content, by weight: Exceeding 27 %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</si>
  <si>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Not flavoured nor containing added fruit, nuts or cocoa: In powder, granules or other solid forms: Not containing added sugar or other sweetening matter, of a fat content, by weight: Exceeding 27 %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</si>
  <si>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Not flavoured nor containing added fruit, nuts or cocoa: In powder, granules or other solid forms: Other, of a fat content, by weight: Not exceeding 1,5 %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</si>
  <si>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Not flavoured nor containing added fruit, nuts or cocoa: In powder, granules or other solid forms: Other, of a fat content, by weight: Not exceeding 1,5 %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</si>
  <si>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Not flavoured nor containing added fruit, nuts or cocoa: In powder, granules or other solid forms: Other, of a fat content, by weight: Exceeding 1,5 % but not exceeding 27 %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</si>
  <si>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Not flavoured nor containing added fruit, nuts or cocoa: In powder, granules or other solid forms: Other, of a fat content, by weight: Exceeding 1,5 % but not exceeding 27 %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</si>
  <si>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Not flavoured nor containing added fruit, nuts or cocoa: In powder, granules or other solid forms: Other, of a fat content, by weight: Exceeding 27 %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</si>
  <si>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Not flavoured nor containing added fruit, nuts or cocoa: In powder, granules or other solid forms: Other, of a fat content, by weight: Exceeding 27 %</t>
  </si>
  <si>
    <t>Not exceeding 3 %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</si>
  <si>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Not flavoured nor containing added fruit, nuts or cocoa: Other: Not containing added sugar or other sweetening matter, of a fat content, by weight: Not exceeding 3 %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</si>
  <si>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Not flavoured nor containing added fruit, nuts or cocoa: Other: Not containing added sugar or other sweetening matter, of a fat content, by weight: Not exceeding 3 %</t>
  </si>
  <si>
    <t>Exceeding 3 % but not exceeding 6 %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</si>
  <si>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Not flavoured nor containing added fruit, nuts or cocoa: Other: Not containing added sugar or other sweetening matter, of a fat content, by weight: Exceeding 3 % but not exceeding 6 %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</si>
  <si>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Not flavoured nor containing added fruit, nuts or cocoa: Other: Not containing added sugar or other sweetening matter, of a fat content, by weight: Exceeding 3 % but not exceeding 6 %</t>
  </si>
  <si>
    <t>Exceeding 6 %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</si>
  <si>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Not flavoured nor containing added fruit, nuts or cocoa: Other: Not containing added sugar or other sweetening matter, of a fat content, by weight: Exceeding 6 %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</si>
  <si>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Not flavoured nor containing added fruit, nuts or cocoa: Other: Not containing added sugar or other sweetening matter, of a fat content, by weight: Exceeding 6 %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</si>
  <si>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Not flavoured nor containing added fruit, nuts or cocoa: Other: Other, of a fat content, by weight: Not exceeding 3 %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</si>
  <si>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Not flavoured nor containing added fruit, nuts or cocoa: Other: Other, of a fat content, by weight: Not exceeding 3 %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</si>
  <si>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Not flavoured nor containing added fruit, nuts or cocoa: Other: Other, of a fat content, by weight: Exceeding 3 % but not exceeding 6 %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</si>
  <si>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Not flavoured nor containing added fruit, nuts or cocoa: Other: Other, of a fat content, by weight: Exceeding 3 % but not exceeding 6 %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</si>
  <si>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Not flavoured nor containing added fruit, nuts or cocoa: Other: Other, of a fat content, by weight: Exceeding 6 %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</si>
  <si>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Not flavoured nor containing added fruit, nuts or cocoa: Other: Other, of a fat content, by weight: Exceeding 6 %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</si>
  <si>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Flavoured or containing added fruit, nuts or cocoa: In powder, granules or other solid forms, of a milkfat content, by weight: Not exceeding 1,5 %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</si>
  <si>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Flavoured or containing added fruit, nuts or cocoa: In powder, granules or other solid forms, of a milkfat content, by weight: Not exceeding 1,5 %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</si>
  <si>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Flavoured or containing added fruit, nuts or cocoa: In powder, granules or other solid forms, of a milkfat content, by weight: Exceeding 1,5 % but not exceeding 27 %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</si>
  <si>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Flavoured or containing added fruit, nuts or cocoa: In powder, granules or other solid forms, of a milkfat content, by weight: Exceeding 1,5 % but not exceeding 27 %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</si>
  <si>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Flavoured or containing added fruit, nuts or cocoa: In powder, granules or other solid forms, of a milkfat content, by weight: Exceeding 27 %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</si>
  <si>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Flavoured or containing added fruit, nuts or cocoa: In powder, granules or other solid forms, of a milkfat content, by weight: Exceeding 27 %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</si>
  <si>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Flavoured or containing added fruit, nuts or cocoa: Other, of a milkfat content, by weight: Not exceeding 3 %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</si>
  <si>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Flavoured or containing added fruit, nuts or cocoa: Other, of a milkfat content, by weight: Not exceeding 3 %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</si>
  <si>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Flavoured or containing added fruit, nuts or cocoa: Other, of a milkfat content, by weight: Exceeding 3 % but not exceeding 6 %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</si>
  <si>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Flavoured or containing added fruit, nuts or cocoa: Other, of a milkfat content, by weight: Exceeding 3 % but not exceeding 6 %</t>
  </si>
  <si>
    <t>CHAPTER 4 - DAIRY PRODUCE; BIRDS' EGGS; NATURAL HONEY; EDIBLE PRODUCTS OF ANIMAL ORIGIN, NOT ELSEWHERE SPECIFIED OR INCLUDED: Yogurt; buttermilk, curdled milk and cream,  kephir and other fermented or acidified milk and cream, whether or not concentrated or containing added sugar or other sweetening matter or flavoured or containing added fruit, nuts or cocoa: Other: Flavoured or containing added fruit, nuts or cocoa: Other, of a milkfat content, by weight: Exceeding 6 %</t>
  </si>
  <si>
    <t>CHAPTER 4 - DAIRY PRODUCE; BIRDS' EGGS; NATURAL HONEY; EDIBLE PRODUCTS OF ANIMAL ORIGIN, NOT ELSEWHERE SPECIFIED OR INCLUDED: Buttermilk, curdled milk and cream, yogurt, kephir and other fermented or acidified milk and cream, whether or not concentrated or containing added sugar or other sweetening matter or flavoured or containing added fruit, nuts or cocoa: Other: Flavoured or containing added fruit, nuts or cocoa: Other, of a milkfat content, by weight: Exceeding 6 %</t>
  </si>
  <si>
    <t>For uses other than the production of oil</t>
  </si>
  <si>
    <t>CHAPTER 7 - EDIBLE VEGETABLES AND CERTAIN ROOTS AND TUBERS: Vegetables provisionally preserved, but unsuitable in that state for immediate consumption: Olives: For uses other than the production of oil</t>
  </si>
  <si>
    <t>CHAPTER 7 - EDIBLE VEGETABLES AND CERTAIN ROOTS AND TUBERS: Vegetables provisionally preserved (for example, by sulphur dioxide gas, in brine, in sulphur water or in other preservative solutions), but unsuitable in that state for immediate consumption: Olives: For uses other than the production of oil</t>
  </si>
  <si>
    <t>CHAPTER 7 - EDIBLE VEGETABLES AND CERTAIN ROOTS AND TUBERS: Vegetables provisionally preserved, but unsuitable in that state for immediate consumption: Olives: Other</t>
  </si>
  <si>
    <t>CHAPTER 7 - EDIBLE VEGETABLES AND CERTAIN ROOTS AND TUBERS: Vegetables provisionally preserved (for example, by sulphur dioxide gas, in brine, in sulphur water or in other preservative solutions), but unsuitable in that state for immediate consumption: Olives: Other</t>
  </si>
  <si>
    <t>Cucumbers and gherkins</t>
  </si>
  <si>
    <t>CHAPTER 7 - EDIBLE VEGETABLES AND CERTAIN ROOTS AND TUBERS: Vegetables provisionally preserved, but unsuitable in that state for immediate consumption: Cucumbers and gherkins</t>
  </si>
  <si>
    <t>CHAPTER 7 - EDIBLE VEGETABLES AND CERTAIN ROOTS AND TUBERS: Vegetables provisionally preserved (for example, by sulphur dioxide gas, in brine, in sulphur water or in other preservative solutions), but unsuitable in that state for immediate consumption: Cucumbers and gherkins</t>
  </si>
  <si>
    <t>Mushrooms of the genus Agaricus</t>
  </si>
  <si>
    <t>CHAPTER 7 - EDIBLE VEGETABLES AND CERTAIN ROOTS AND TUBERS: Vegetables provisionally preserved, but unsuitable in that state for immediate consumption: Mushrooms and truffles: Mushrooms of the genus Agaricus</t>
  </si>
  <si>
    <t>CHAPTER 7 - EDIBLE VEGETABLES AND CERTAIN ROOTS AND TUBERS: Vegetables provisionally preserved (for example, by sulphur dioxide gas, in brine, in sulphur water or in other preservative solutions), but unsuitable in that state for immediate consumption: Mushrooms and truffles: Mushrooms of the genus Agaricus</t>
  </si>
  <si>
    <t>CHAPTER 7 - EDIBLE VEGETABLES AND CERTAIN ROOTS AND TUBERS: Vegetables provisionally preserved, but unsuitable in that state for immediate consumption: Mushrooms and truffles: Other</t>
  </si>
  <si>
    <t>CHAPTER 7 - EDIBLE VEGETABLES AND CERTAIN ROOTS AND TUBERS: Vegetables provisionally preserved (for example, by sulphur dioxide gas, in brine, in sulphur water or in other preservative solutions), but unsuitable in that state for immediate consumption: Mushrooms and truffles: Other</t>
  </si>
  <si>
    <t>Fruits of the genus Capsicum or of the genus Pimenta, excluding sweet peppers</t>
  </si>
  <si>
    <t>CHAPTER 7 - EDIBLE VEGETABLES AND CERTAIN ROOTS AND TUBERS: Vegetables provisionally preserved, but unsuitable in that state for immediate consumption: Other vegetables; mixtures of vegetables: Vegetables: Fruits of the genus Capsicum or of the genus Pimenta, excluding sweet peppers</t>
  </si>
  <si>
    <t>CHAPTER 7 - EDIBLE VEGETABLES AND CERTAIN ROOTS AND TUBERS: Vegetables provisionally preserved (for example, by sulphur dioxide gas, in brine, in sulphur water or in other preservative solutions), but unsuitable in that state for immediate consumption: Other vegetables; mixtures of vegetables: Vegetables: Fruits of the genus Capsicum or of the genus Pimenta, excluding sweet peppers</t>
  </si>
  <si>
    <t>Sweetcorn</t>
  </si>
  <si>
    <t>CHAPTER 7 - EDIBLE VEGETABLES AND CERTAIN ROOTS AND TUBERS: Vegetables provisionally preserved, but unsuitable in that state for immediate consumption: Other vegetables; mixtures of vegetables: Vegetables: Sweetcorn</t>
  </si>
  <si>
    <t>CHAPTER 7 - EDIBLE VEGETABLES AND CERTAIN ROOTS AND TUBERS: Vegetables provisionally preserved (for example, by sulphur dioxide gas, in brine, in sulphur water or in other preservative solutions), but unsuitable in that state for immediate consumption: Other vegetables; mixtures of vegetables: Vegetables: Sweetcorn</t>
  </si>
  <si>
    <t>Onions</t>
  </si>
  <si>
    <t>CHAPTER 7 - EDIBLE VEGETABLES AND CERTAIN ROOTS AND TUBERS: Vegetables provisionally preserved, but unsuitable in that state for immediate consumption: Other vegetables; mixtures of vegetables: Vegetables: Onions</t>
  </si>
  <si>
    <t>CHAPTER 7 - EDIBLE VEGETABLES AND CERTAIN ROOTS AND TUBERS: Vegetables provisionally preserved (for example, by sulphur dioxide gas, in brine, in sulphur water or in other preservative solutions), but unsuitable in that state for immediate consumption: Other vegetables; mixtures of vegetables: Vegetables: Onions</t>
  </si>
  <si>
    <t>Capers</t>
  </si>
  <si>
    <t>CHAPTER 7 - EDIBLE VEGETABLES AND CERTAIN ROOTS AND TUBERS: Vegetables provisionally preserved, but unsuitable in that state for immediate consumption: Other vegetables; mixtures of vegetables: Vegetables: Capers</t>
  </si>
  <si>
    <t>CHAPTER 7 - EDIBLE VEGETABLES AND CERTAIN ROOTS AND TUBERS: Vegetables provisionally preserved (for example, by sulphur dioxide gas, in brine, in sulphur water or in other preservative solutions), but unsuitable in that state for immediate consumption: Other vegetables; mixtures of vegetables: Vegetables: Capers</t>
  </si>
  <si>
    <t>CHAPTER 7 - EDIBLE VEGETABLES AND CERTAIN ROOTS AND TUBERS: Vegetables provisionally preserved, but unsuitable in that state for immediate consumption: Other vegetables; mixtures of vegetables: Vegetables: Other</t>
  </si>
  <si>
    <t>CHAPTER 7 - EDIBLE VEGETABLES AND CERTAIN ROOTS AND TUBERS: Vegetables provisionally preserved (for example, by sulphur dioxide gas, in brine, in sulphur water or in other preservative solutions), but unsuitable in that state for immediate consumption: Other vegetables; mixtures of vegetables: Vegetables: Other</t>
  </si>
  <si>
    <t>Mixtures of vegetables</t>
  </si>
  <si>
    <t>CHAPTER 7 - EDIBLE VEGETABLES AND CERTAIN ROOTS AND TUBERS: Vegetables provisionally preserved, but unsuitable in that state for immediate consumption: Other vegetables; mixtures of vegetables: Mixtures of vegetables</t>
  </si>
  <si>
    <t>CHAPTER 7 - EDIBLE VEGETABLES AND CERTAIN ROOTS AND TUBERS: Vegetables provisionally preserved (for example, by sulphur dioxide gas, in brine, in sulphur water or in other preservative solutions), but unsuitable in that state for immediate consumption: Other vegetables; mixtures of vegetables: Mixtures of vegetables</t>
  </si>
  <si>
    <t>Grapefruit and pomelos</t>
  </si>
  <si>
    <t>Grapefruit, including pomelos</t>
  </si>
  <si>
    <t>CHAPTER 8 - EDIBLE FRUIT AND NUTS; PEEL OF CITRUS FRUIT OR MELONS: Citrus fruit, fresh or dried: Grapefruit and pomelos</t>
  </si>
  <si>
    <t>CHAPTER 8 - EDIBLE FRUIT AND NUTS; PEEL OF CITRUS FRUIT OR MELONS: Citrus fruit, fresh or dried: Grapefruit, including pomelos</t>
  </si>
  <si>
    <t>Cherries</t>
  </si>
  <si>
    <t>CHAPTER 8 - EDIBLE FRUIT AND NUTS; PEEL OF CITRUS FRUIT OR MELONS: Fruit and nuts provisionally preserved, but unsuitable in that state for immediate consumption: Cherries</t>
  </si>
  <si>
    <t>CHAPTER 8 - EDIBLE FRUIT AND NUTS; PEEL OF CITRUS FRUIT OR MELONS: Fruit and nuts, provisionally preserved (for example, by sulphur dioxide gas, in brine, in sulphur water or in other preservative solutions), but unsuitable in that state for immediate consumption: Cherries</t>
  </si>
  <si>
    <t>Apricots; oranges</t>
  </si>
  <si>
    <t>CHAPTER 8 - EDIBLE FRUIT AND NUTS; PEEL OF CITRUS FRUIT OR MELONS: Fruit and nuts provisionally preserved, but unsuitable in that state for immediate consumption: Other: Apricots; oranges</t>
  </si>
  <si>
    <t>CHAPTER 8 - EDIBLE FRUIT AND NUTS; PEEL OF CITRUS FRUIT OR MELONS: Fruit and nuts, provisionally preserved (for example, by sulphur dioxide gas, in brine, in sulphur water or in other preservative solutions), but unsuitable in that state for immediate consumption: Other: Apricots; oranges</t>
  </si>
  <si>
    <t>Papaws (papayas)</t>
  </si>
  <si>
    <t>CHAPTER 8 - EDIBLE FRUIT AND NUTS; PEEL OF CITRUS FRUIT OR MELONS: Fruit and nuts provisionally preserved, but unsuitable in that state for immediate consumption: Other: Papaws (papayas)</t>
  </si>
  <si>
    <t>CHAPTER 8 - EDIBLE FRUIT AND NUTS; PEEL OF CITRUS FRUIT OR MELONS: Fruit and nuts, provisionally preserved (for example, by sulphur dioxide gas, in brine, in sulphur water or in other preservative solutions), but unsuitable in that state for immediate consumption: Other: Papaws (papayas)</t>
  </si>
  <si>
    <t>Fruit of the species Vaccinium myrtillus</t>
  </si>
  <si>
    <t>CHAPTER 8 - EDIBLE FRUIT AND NUTS; PEEL OF CITRUS FRUIT OR MELONS: Fruit and nuts provisionally preserved, but unsuitable in that state for immediate consumption: Other: Fruit of the species Vaccinium myrtillus</t>
  </si>
  <si>
    <t>CHAPTER 8 - EDIBLE FRUIT AND NUTS; PEEL OF CITRUS FRUIT OR MELONS: Fruit and nuts, provisionally preserved (for example, by sulphur dioxide gas, in brine, in sulphur water or in other preservative solutions), but unsuitable in that state for immediate consumption: Other: Fruit of the species Vaccinium myrtillus</t>
  </si>
  <si>
    <t>Guavas, mangoes, mangosteens, tamarinds, cashew apples, lychees, jackfruit, sapodillo plums, passion fruit, carambola, pitahaya and tropical nuts</t>
  </si>
  <si>
    <t>CHAPTER 8 - EDIBLE FRUIT AND NUTS; PEEL OF CITRUS FRUIT OR MELONS: Fruit and nuts provisionally preserved, but unsuitable in that state for immediate consumption: Other: Guavas, mangoes, mangosteens, tamarinds, cashew apples, lychees, jackfruit, sapodillo plums, passion fruit, carambola, pitahaya and tropical nuts</t>
  </si>
  <si>
    <t>CHAPTER 8 - EDIBLE FRUIT AND NUTS; PEEL OF CITRUS FRUIT OR MELONS: Fruit and nuts, provisionally preserved (for example, by sulphur dioxide gas, in brine, in sulphur water or in other preservative solutions), but unsuitable in that state for immediate consumption: Other: Guavas, mangoes, mangosteens, tamarinds, cashew apples, lychees, jackfruit, sapodillo plums, passion fruit, carambola, pitahaya and tropical nuts</t>
  </si>
  <si>
    <t>CHAPTER 8 - EDIBLE FRUIT AND NUTS; PEEL OF CITRUS FRUIT OR MELONS: Fruit and nuts provisionally preserved, but unsuitable in that state for immediate consumption: Other: Other</t>
  </si>
  <si>
    <t>CHAPTER 8 - EDIBLE FRUIT AND NUTS; PEEL OF CITRUS FRUIT OR MELONS: Fruit and nuts, provisionally preserved (for example, by sulphur dioxide gas, in brine, in sulphur water or in other preservative solutions), but unsuitable in that state for immediate consumption: Other: Other</t>
  </si>
  <si>
    <t>For industrial uses other than the manufacture of foodstuffs for human consumption</t>
  </si>
  <si>
    <t>CHAPTER 15 - ANIMAL, VEGETABLE OR MICROBIAL FATS AND OILS AND THEIR CLEAVAGE PRODUCTS; PREPARED EDIBLE FATS; ANIMAL OR VEGETABLE WAXES: Pig fat (including lard) and poultry fat, other than that of heading 0209 or1503: Lard: For industrial uses other than the manufacture of foodstuffs for human consumption</t>
  </si>
  <si>
    <t>CHAPTER 15 - ANIMAL OR VEGETABLE FATS AND OILS AND THEIR CLEAVAGE PRODUCTS; PREPARED EDIBLE FATS; ANIMAL OR VEGETABLE WAXES: Pig fat (including lard) and poultry fat, other than that of heading 0209 or1503: Lard: For industrial uses other than the manufacture of foodstuffs for human consumption</t>
  </si>
  <si>
    <t>CHAPTER 15 - ANIMAL, VEGETABLE OR MICROBIAL FATS AND OILS AND THEIR CLEAVAGE PRODUCTS; PREPARED EDIBLE FATS; ANIMAL OR VEGETABLE WAXES: Pig fat (including lard) and poultry fat, other than that of heading 0209 or1503: Lard: Other</t>
  </si>
  <si>
    <t>CHAPTER 15 - ANIMAL OR VEGETABLE FATS AND OILS AND THEIR CLEAVAGE PRODUCTS; PREPARED EDIBLE FATS; ANIMAL OR VEGETABLE WAXES: Pig fat (including lard) and poultry fat, other than that of heading 0209 or1503: Lard: Other</t>
  </si>
  <si>
    <t>CHAPTER 15 - ANIMAL, VEGETABLE OR MICROBIAL FATS AND OILS AND THEIR CLEAVAGE PRODUCTS; PREPARED EDIBLE FATS; ANIMAL OR VEGETABLE WAXES: Pig fat (including lard) and poultry fat, other than that of heading 0209 or1503: Other pig fat: For industrial uses other than the manufacture of foodstuffs for human consumption</t>
  </si>
  <si>
    <t>CHAPTER 15 - ANIMAL OR VEGETABLE FATS AND OILS AND THEIR CLEAVAGE PRODUCTS; PREPARED EDIBLE FATS; ANIMAL OR VEGETABLE WAXES: Pig fat (including lard) and poultry fat, other than that of heading 0209 or1503: Other pig fat: For industrial uses other than the manufacture of foodstuffs for human consumption</t>
  </si>
  <si>
    <t>CHAPTER 15 - ANIMAL, VEGETABLE OR MICROBIAL FATS AND OILS AND THEIR CLEAVAGE PRODUCTS; PREPARED EDIBLE FATS; ANIMAL OR VEGETABLE WAXES: Pig fat (including lard) and poultry fat, other than that of heading 0209 or1503: Other pig fat: Other</t>
  </si>
  <si>
    <t>CHAPTER 15 - ANIMAL OR VEGETABLE FATS AND OILS AND THEIR CLEAVAGE PRODUCTS; PREPARED EDIBLE FATS; ANIMAL OR VEGETABLE WAXES: Pig fat (including lard) and poultry fat, other than that of heading 0209 or1503: Other pig fat: Other</t>
  </si>
  <si>
    <t>CHAPTER 15 - ANIMAL, VEGETABLE OR MICROBIAL FATS AND OILS AND THEIR CLEAVAGE PRODUCTS; PREPARED EDIBLE FATS; ANIMAL OR VEGETABLE WAXES: Pig fat (including lard) and poultry fat, other than that of heading 0209 or1503: Other</t>
  </si>
  <si>
    <t>CHAPTER 15 - ANIMAL OR VEGETABLE FATS AND OILS AND THEIR CLEAVAGE PRODUCTS; PREPARED EDIBLE FATS; ANIMAL OR VEGETABLE WAXES: Pig fat (including lard) and poultry fat, other than that of heading 0209 or1503: Other</t>
  </si>
  <si>
    <t>CHAPTER 15 - ANIMAL, VEGETABLE OR MICROBIAL FATS AND OILS AND THEIR CLEAVAGE PRODUCTS; PREPARED EDIBLE FATS; ANIMAL OR VEGETABLE WAXES: Fats of bovine animals, sheep or goats, other than those of heading 1503: Tallow: For industrial uses other than the manufacture of foodstuffs for human consumption</t>
  </si>
  <si>
    <t>CHAPTER 15 - ANIMAL OR VEGETABLE FATS AND OILS AND THEIR CLEAVAGE PRODUCTS; PREPARED EDIBLE FATS; ANIMAL OR VEGETABLE WAXES: Fats of bovine animals, sheep or goats, other than those of heading 1503: Tallow: For industrial uses other than the manufacture of foodstuffs for human consumption</t>
  </si>
  <si>
    <t>CHAPTER 15 - ANIMAL, VEGETABLE OR MICROBIAL FATS AND OILS AND THEIR CLEAVAGE PRODUCTS; PREPARED EDIBLE FATS; ANIMAL OR VEGETABLE WAXES: Fats of bovine animals, sheep or goats, other than those of heading 1503: Tallow: Other</t>
  </si>
  <si>
    <t>CHAPTER 15 - ANIMAL OR VEGETABLE FATS AND OILS AND THEIR CLEAVAGE PRODUCTS; PREPARED EDIBLE FATS; ANIMAL OR VEGETABLE WAXES: Fats of bovine animals, sheep or goats, other than those of heading 1503: Tallow: Other</t>
  </si>
  <si>
    <t>CHAPTER 15 - ANIMAL, VEGETABLE OR MICROBIAL FATS AND OILS AND THEIR CLEAVAGE PRODUCTS; PREPARED EDIBLE FATS; ANIMAL OR VEGETABLE WAXES: Fats of bovine animals, sheep or goats, other than those of heading 1503: Other: For industrial uses other than the manufacture of foodstuffs for human consumption</t>
  </si>
  <si>
    <t>CHAPTER 15 - ANIMAL OR VEGETABLE FATS AND OILS AND THEIR CLEAVAGE PRODUCTS; PREPARED EDIBLE FATS; ANIMAL OR VEGETABLE WAXES: Fats of bovine animals, sheep or goats, other than those of heading 1503: Other: For industrial uses other than the manufacture of foodstuffs for human consumption</t>
  </si>
  <si>
    <t>CHAPTER 15 - ANIMAL, VEGETABLE OR MICROBIAL FATS AND OILS AND THEIR CLEAVAGE PRODUCTS; PREPARED EDIBLE FATS; ANIMAL OR VEGETABLE WAXES: Fats of bovine animals, sheep or goats, other than those of heading 1503: Other: Other</t>
  </si>
  <si>
    <t>CHAPTER 15 - ANIMAL OR VEGETABLE FATS AND OILS AND THEIR CLEAVAGE PRODUCTS; PREPARED EDIBLE FATS; ANIMAL OR VEGETABLE WAXES: Fats of bovine animals, sheep or goats, other than those of heading 1503: Other: Other</t>
  </si>
  <si>
    <t>For industrial uses</t>
  </si>
  <si>
    <t>CHAPTER 15 - ANIMAL, VEGETABLE OR MICROBIAL FATS AND OILS AND THEIR CLEAVAGE PRODUCTS; PREPARED EDIBLE FATS; ANIMAL OR VEGETABLE WAXES: Lard stearin, lard oil, oleostearin, oleo-oil and tallow oil, not emulsified or mixed or otherwise prepared: Lard stearin and oleostearin: For industrial uses</t>
  </si>
  <si>
    <t>CHAPTER 15 - ANIMAL OR VEGETABLE FATS AND OILS AND THEIR CLEAVAGE PRODUCTS; PREPARED EDIBLE FATS; ANIMAL OR VEGETABLE WAXES: Lard stearin, lard oil, oleostearin, oleo-oil and tallow oil, not emulsified or mixed or otherwise prepared: Lard stearin and oleostearin: For industrial uses</t>
  </si>
  <si>
    <t>CHAPTER 15 - ANIMAL, VEGETABLE OR MICROBIAL FATS AND OILS AND THEIR CLEAVAGE PRODUCTS; PREPARED EDIBLE FATS; ANIMAL OR VEGETABLE WAXES: Lard stearin, lard oil, oleostearin, oleo-oil and tallow oil, not emulsified or mixed or otherwise prepared: Lard stearin and oleostearin: Other</t>
  </si>
  <si>
    <t>CHAPTER 15 - ANIMAL OR VEGETABLE FATS AND OILS AND THEIR CLEAVAGE PRODUCTS; PREPARED EDIBLE FATS; ANIMAL OR VEGETABLE WAXES: Lard stearin, lard oil, oleostearin, oleo-oil and tallow oil, not emulsified or mixed or otherwise prepared: Lard stearin and oleostearin: Other</t>
  </si>
  <si>
    <t>Tallow oil for industrial uses other than the manufacture of foodstuffs for human consumption</t>
  </si>
  <si>
    <t>CHAPTER 15 - ANIMAL, VEGETABLE OR MICROBIAL FATS AND OILS AND THEIR CLEAVAGE PRODUCTS; PREPARED EDIBLE FATS; ANIMAL OR VEGETABLE WAXES: Lard stearin, lard oil, oleostearin, oleo-oil and tallow oil, not emulsified or mixed or otherwise prepared: Tallow oil for industrial uses other than the manufacture of foodstuffs for human consumption</t>
  </si>
  <si>
    <t>CHAPTER 15 - ANIMAL OR VEGETABLE FATS AND OILS AND THEIR CLEAVAGE PRODUCTS; PREPARED EDIBLE FATS; ANIMAL OR VEGETABLE WAXES: Lard stearin, lard oil, oleostearin, oleo-oil and tallow oil, not emulsified or mixed or otherwise prepared: Tallow oil for industrial uses other than the manufacture of foodstuffs for human consumption</t>
  </si>
  <si>
    <t>CHAPTER 15 - ANIMAL, VEGETABLE OR MICROBIAL FATS AND OILS AND THEIR CLEAVAGE PRODUCTS; PREPARED EDIBLE FATS; ANIMAL OR VEGETABLE WAXES: Lard stearin, lard oil, oleostearin, oleo-oil and tallow oil, not emulsified or mixed or otherwise prepared: Other</t>
  </si>
  <si>
    <t>CHAPTER 15 - ANIMAL OR VEGETABLE FATS AND OILS AND THEIR CLEAVAGE PRODUCTS; PREPARED EDIBLE FATS; ANIMAL OR VEGETABLE WAXES: Lard stearin, lard oil, oleostearin, oleo-oil and tallow oil, not emulsified or mixed or otherwise prepared: Other</t>
  </si>
  <si>
    <t>Of a vitamin A content not exceeding 2500 International Units per gram</t>
  </si>
  <si>
    <t>CHAPTER 15 - ANIMAL, VEGETABLE OR MICROBIAL FATS AND OILS AND THEIR CLEAVAGE PRODUCTS; PREPARED EDIBLE FATS; ANIMAL OR VEGETABLE WAXES: Fats and oils and their fractions, of fish or marine mammals, whether or not refined, but not chemically modified: Fish-liver oils and their fractions: Of a vitamin A content not exceeding 2500 International Units per gram</t>
  </si>
  <si>
    <t>CHAPTER 15 - ANIMAL OR VEGETABLE FATS AND OILS AND THEIR CLEAVAGE PRODUCTS; PREPARED EDIBLE FATS; ANIMAL OR VEGETABLE WAXES: Fats and oils and their fractions, of fish or marine mammals, whether or not refined, but not chemically modified: Fish-liver oils and their fractions: Of a vitamin A content not exceeding 2500 International Units per gram</t>
  </si>
  <si>
    <t>Of halibut</t>
  </si>
  <si>
    <t>CHAPTER 15 - ANIMAL, VEGETABLE OR MICROBIAL FATS AND OILS AND THEIR CLEAVAGE PRODUCTS; PREPARED EDIBLE FATS; ANIMAL OR VEGETABLE WAXES: Fats and oils and their fractions, of fish or marine mammals, whether or not refined, but not chemically modified: Fish-liver oils and their fractions: Other: Of halibut</t>
  </si>
  <si>
    <t>CHAPTER 15 - ANIMAL OR VEGETABLE FATS AND OILS AND THEIR CLEAVAGE PRODUCTS; PREPARED EDIBLE FATS; ANIMAL OR VEGETABLE WAXES: Fats and oils and their fractions, of fish or marine mammals, whether or not refined, but not chemically modified: Fish-liver oils and their fractions: Other: Of halibut</t>
  </si>
  <si>
    <t>CHAPTER 15 - ANIMAL, VEGETABLE OR MICROBIAL FATS AND OILS AND THEIR CLEAVAGE PRODUCTS; PREPARED EDIBLE FATS; ANIMAL OR VEGETABLE WAXES: Fats and oils and their fractions, of fish or marine mammals, whether or not refined, but not chemically modified: Fish-liver oils and their fractions: Other: Other</t>
  </si>
  <si>
    <t>CHAPTER 15 - ANIMAL OR VEGETABLE FATS AND OILS AND THEIR CLEAVAGE PRODUCTS; PREPARED EDIBLE FATS; ANIMAL OR VEGETABLE WAXES: Fats and oils and their fractions, of fish or marine mammals, whether or not refined, but not chemically modified: Fish-liver oils and their fractions: Other: Other</t>
  </si>
  <si>
    <t>Solid fractions</t>
  </si>
  <si>
    <t>CHAPTER 15 - ANIMAL, VEGETABLE OR MICROBIAL FATS AND OILS AND THEIR CLEAVAGE PRODUCTS; PREPARED EDIBLE FATS; ANIMAL OR VEGETABLE WAXES: Fats and oils and their fractions, of fish or marine mammals, whether or not refined, but not chemically modified: Fats and oils and their fractions, of fish, other than liver oils: Solid fractions</t>
  </si>
  <si>
    <t>CHAPTER 15 - ANIMAL OR VEGETABLE FATS AND OILS AND THEIR CLEAVAGE PRODUCTS; PREPARED EDIBLE FATS; ANIMAL OR VEGETABLE WAXES: Fats and oils and their fractions, of fish or marine mammals, whether or not refined, but not chemically modified: Fats and oils and their fractions, of fish, other than liver oils: Solid fractions</t>
  </si>
  <si>
    <t>CHAPTER 15 - ANIMAL, VEGETABLE OR MICROBIAL FATS AND OILS AND THEIR CLEAVAGE PRODUCTS; PREPARED EDIBLE FATS; ANIMAL OR VEGETABLE WAXES: Fats and oils and their fractions, of fish or marine mammals, whether or not refined, but not chemically modified: Fats and oils and their fractions, of fish, other than liver oils: Other</t>
  </si>
  <si>
    <t>CHAPTER 15 - ANIMAL OR VEGETABLE FATS AND OILS AND THEIR CLEAVAGE PRODUCTS; PREPARED EDIBLE FATS; ANIMAL OR VEGETABLE WAXES: Fats and oils and their fractions, of fish or marine mammals, whether or not refined, but not chemically modified: Fats and oils and their fractions, of fish, other than liver oils: Other</t>
  </si>
  <si>
    <t>CHAPTER 15 - ANIMAL, VEGETABLE OR MICROBIAL FATS AND OILS AND THEIR CLEAVAGE PRODUCTS; PREPARED EDIBLE FATS; ANIMAL OR VEGETABLE WAXES: Fats and oils and their fractions, of fish or marine mammals, whether or not refined, but not chemically modified: Fats and oils and their fractions, of marine mammals: Solid fractions</t>
  </si>
  <si>
    <t>CHAPTER 15 - ANIMAL OR VEGETABLE FATS AND OILS AND THEIR CLEAVAGE PRODUCTS; PREPARED EDIBLE FATS; ANIMAL OR VEGETABLE WAXES: Fats and oils and their fractions, of fish or marine mammals, whether or not refined, but not chemically modified: Fats and oils and their fractions, of marine mammals: Solid fractions</t>
  </si>
  <si>
    <t>CHAPTER 15 - ANIMAL, VEGETABLE OR MICROBIAL FATS AND OILS AND THEIR CLEAVAGE PRODUCTS; PREPARED EDIBLE FATS; ANIMAL OR VEGETABLE WAXES: Fats and oils and their fractions, of fish or marine mammals, whether or not refined, but not chemically modified: Fats and oils and their fractions, of marine mammals: Other</t>
  </si>
  <si>
    <t>CHAPTER 15 - ANIMAL OR VEGETABLE FATS AND OILS AND THEIR CLEAVAGE PRODUCTS; PREPARED EDIBLE FATS; ANIMAL OR VEGETABLE WAXES: Fats and oils and their fractions, of fish or marine mammals, whether or not refined, but not chemically modified: Fats and oils and their fractions, of marine mammals: Other</t>
  </si>
  <si>
    <t>Wool grease, crude</t>
  </si>
  <si>
    <t>CHAPTER 15 - ANIMAL, VEGETABLE OR MICROBIAL FATS AND OILS AND THEIR CLEAVAGE PRODUCTS; PREPARED EDIBLE FATS; ANIMAL OR VEGETABLE WAXES: Wool grease and fatty substances derived therefrom (including lanolin): Wool grease, crude</t>
  </si>
  <si>
    <t>CHAPTER 15 - ANIMAL OR VEGETABLE FATS AND OILS AND THEIR CLEAVAGE PRODUCTS; PREPARED EDIBLE FATS; ANIMAL OR VEGETABLE WAXES: Wool grease and fatty substances derived therefrom (including lanolin): Wool grease, crude</t>
  </si>
  <si>
    <t>CHAPTER 15 - ANIMAL, VEGETABLE OR MICROBIAL FATS AND OILS AND THEIR CLEAVAGE PRODUCTS; PREPARED EDIBLE FATS; ANIMAL OR VEGETABLE WAXES: Wool grease and fatty substances derived therefrom (including lanolin): Other</t>
  </si>
  <si>
    <t>CHAPTER 15 - ANIMAL OR VEGETABLE FATS AND OILS AND THEIR CLEAVAGE PRODUCTS; PREPARED EDIBLE FATS; ANIMAL OR VEGETABLE WAXES: Wool grease and fatty substances derived therefrom (including lanolin): Other</t>
  </si>
  <si>
    <t>Other animal fats and oils and their fractions, whether or not refined, but not chemically modified</t>
  </si>
  <si>
    <t>CHAPTER 15 - ANIMAL, VEGETABLE OR MICROBIAL FATS AND OILS AND THEIR CLEAVAGE PRODUCTS; PREPARED EDIBLE FATS; ANIMAL OR VEGETABLE WAXES: Other animal fats and oils and their fractions, whether or not refined, but not chemically modified</t>
  </si>
  <si>
    <t>CHAPTER 15 - ANIMAL OR VEGETABLE FATS AND OILS AND THEIR CLEAVAGE PRODUCTS; PREPARED EDIBLE FATS; ANIMAL OR VEGETABLE WAXES: Other animal fats and oils and their fractions, whether or not refined, but not chemically modified</t>
  </si>
  <si>
    <t>For technical or industrial uses other than the manufacture of foodstuffs for human consumption</t>
  </si>
  <si>
    <t>CHAPTER 15 - ANIMAL, VEGETABLE OR MICROBIAL FATS AND OILS AND THEIR CLEAVAGE PRODUCTS; PREPARED EDIBLE FATS; ANIMAL OR VEGETABLE WAXES: Soya-bean oil and its fractions, whether or not refined, but not chemically modified: Crude oil, whether or not degummed: For technical or industrial uses other than the manufacture of foodstuffs for human consumption</t>
  </si>
  <si>
    <t>CHAPTER 15 - ANIMAL OR VEGETABLE FATS AND OILS AND THEIR CLEAVAGE PRODUCTS; PREPARED EDIBLE FATS; ANIMAL OR VEGETABLE WAXES: Soya-bean oil and its fractions, whether or not refined, but not chemically modified: Crude oil, whether or not degummed: For technical or industrial uses other than the manufacture of foodstuffs for human consumption</t>
  </si>
  <si>
    <t>CHAPTER 15 - ANIMAL, VEGETABLE OR MICROBIAL FATS AND OILS AND THEIR CLEAVAGE PRODUCTS; PREPARED EDIBLE FATS; ANIMAL OR VEGETABLE WAXES: Soya-bean oil and its fractions, whether or not refined, but not chemically modified: Crude oil, whether or not degummed: Other</t>
  </si>
  <si>
    <t>CHAPTER 15 - ANIMAL OR VEGETABLE FATS AND OILS AND THEIR CLEAVAGE PRODUCTS; PREPARED EDIBLE FATS; ANIMAL OR VEGETABLE WAXES: Soya-bean oil and its fractions, whether or not refined, but not chemically modified: Crude oil, whether or not degummed: Other</t>
  </si>
  <si>
    <t>CHAPTER 15 - ANIMAL, VEGETABLE OR MICROBIAL FATS AND OILS AND THEIR CLEAVAGE PRODUCTS; PREPARED EDIBLE FATS; ANIMAL OR VEGETABLE WAXES: Soya-bean oil and its fractions, whether or not refined, but not chemically modified: Other: For technical or industrial uses other than the manufacture of foodstuffs for human consumption</t>
  </si>
  <si>
    <t>CHAPTER 15 - ANIMAL OR VEGETABLE FATS AND OILS AND THEIR CLEAVAGE PRODUCTS; PREPARED EDIBLE FATS; ANIMAL OR VEGETABLE WAXES: Soya-bean oil and its fractions, whether or not refined, but not chemically modified: Other: For technical or industrial uses other than the manufacture of foodstuffs for human consumption</t>
  </si>
  <si>
    <t>CHAPTER 15 - ANIMAL, VEGETABLE OR MICROBIAL FATS AND OILS AND THEIR CLEAVAGE PRODUCTS; PREPARED EDIBLE FATS; ANIMAL OR VEGETABLE WAXES: Soya-bean oil and its fractions, whether or not refined, but not chemically modified: Other: Other</t>
  </si>
  <si>
    <t>CHAPTER 15 - ANIMAL OR VEGETABLE FATS AND OILS AND THEIR CLEAVAGE PRODUCTS; PREPARED EDIBLE FATS; ANIMAL OR VEGETABLE WAXES: Soya-bean oil and its fractions, whether or not refined, but not chemically modified: Other: Other</t>
  </si>
  <si>
    <t>CHAPTER 15 - ANIMAL, VEGETABLE OR MICROBIAL FATS AND OILS AND THEIR CLEAVAGE PRODUCTS; PREPARED EDIBLE FATS; ANIMAL OR VEGETABLE WAXES: Groundnut oil and its fractions, whether or not refined, but not chemically modified: Crude oil: For technical or industrial uses other than the manufacture of foodstuffs for human consumption</t>
  </si>
  <si>
    <t>CHAPTER 15 - ANIMAL OR VEGETABLE FATS AND OILS AND THEIR CLEAVAGE PRODUCTS; PREPARED EDIBLE FATS; ANIMAL OR VEGETABLE WAXES: Groundnut oil and its fractions, whether or not refined, but not chemically modified: Crude oil: For technical or industrial uses other than the manufacture of foodstuffs for human consumption</t>
  </si>
  <si>
    <t>CHAPTER 15 - ANIMAL, VEGETABLE OR MICROBIAL FATS AND OILS AND THEIR CLEAVAGE PRODUCTS; PREPARED EDIBLE FATS; ANIMAL OR VEGETABLE WAXES: Groundnut oil and its fractions, whether or not refined, but not chemically modified: Crude oil: Other</t>
  </si>
  <si>
    <t>CHAPTER 15 - ANIMAL OR VEGETABLE FATS AND OILS AND THEIR CLEAVAGE PRODUCTS; PREPARED EDIBLE FATS; ANIMAL OR VEGETABLE WAXES: Groundnut oil and its fractions, whether or not refined, but not chemically modified: Crude oil: Other</t>
  </si>
  <si>
    <t>CHAPTER 15 - ANIMAL, VEGETABLE OR MICROBIAL FATS AND OILS AND THEIR CLEAVAGE PRODUCTS; PREPARED EDIBLE FATS; ANIMAL OR VEGETABLE WAXES: Groundnut oil and its fractions, whether or not refined, but not chemically modified: Other: For technical or industrial uses other than the manufacture of foodstuffs for human consumption</t>
  </si>
  <si>
    <t>CHAPTER 15 - ANIMAL OR VEGETABLE FATS AND OILS AND THEIR CLEAVAGE PRODUCTS; PREPARED EDIBLE FATS; ANIMAL OR VEGETABLE WAXES: Groundnut oil and its fractions, whether or not refined, but not chemically modified: Other: For technical or industrial uses other than the manufacture of foodstuffs for human consumption</t>
  </si>
  <si>
    <t>CHAPTER 15 - ANIMAL, VEGETABLE OR MICROBIAL FATS AND OILS AND THEIR CLEAVAGE PRODUCTS; PREPARED EDIBLE FATS; ANIMAL OR VEGETABLE WAXES: Groundnut oil and its fractions, whether or not refined, but not chemically modified: Other: Other</t>
  </si>
  <si>
    <t>CHAPTER 15 - ANIMAL OR VEGETABLE FATS AND OILS AND THEIR CLEAVAGE PRODUCTS; PREPARED EDIBLE FATS; ANIMAL OR VEGETABLE WAXES: Groundnut oil and its fractions, whether or not refined, but not chemically modified: Other: Other</t>
  </si>
  <si>
    <t>CHAPTER 15 - ANIMAL, VEGETABLE OR MICROBIAL FATS AND OILS AND THEIR CLEAVAGE PRODUCTS; PREPARED EDIBLE FATS; ANIMAL OR VEGETABLE WAXES: Olive oil and its fractions, whether or not refined, but not chemically modified: Other</t>
  </si>
  <si>
    <t>CHAPTER 15 - ANIMAL OR VEGETABLE FATS AND OILS AND THEIR CLEAVAGE PRODUCTS; PREPARED EDIBLE FATS; ANIMAL OR VEGETABLE WAXES: Olive oil and its fractions, whether or not refined, but not chemically modified: Other</t>
  </si>
  <si>
    <t>CHAPTER 15 - ANIMAL, VEGETABLE OR MICROBIAL FATS AND OILS AND THEIR CLEAVAGE PRODUCTS; PREPARED EDIBLE FATS; ANIMAL OR VEGETABLE WAXES: Palm oil and its fractions, whether or not refined, but not chemically modified: Crude oil: For technical or industrial uses other than the manufacture of foodstuffs for human consumption</t>
  </si>
  <si>
    <t>CHAPTER 15 - ANIMAL OR VEGETABLE FATS AND OILS AND THEIR CLEAVAGE PRODUCTS; PREPARED EDIBLE FATS; ANIMAL OR VEGETABLE WAXES: Palm oil and its fractions, whether or not refined, but not chemically modified: Crude oil: For technical or industrial uses other than the manufacture of foodstuffs for human consumption</t>
  </si>
  <si>
    <t>CHAPTER 15 - ANIMAL, VEGETABLE OR MICROBIAL FATS AND OILS AND THEIR CLEAVAGE PRODUCTS; PREPARED EDIBLE FATS; ANIMAL OR VEGETABLE WAXES: Palm oil and its fractions, whether or not refined, but not chemically modified: Crude oil: Other</t>
  </si>
  <si>
    <t>CHAPTER 15 - ANIMAL OR VEGETABLE FATS AND OILS AND THEIR CLEAVAGE PRODUCTS; PREPARED EDIBLE FATS; ANIMAL OR VEGETABLE WAXES: Palm oil and its fractions, whether or not refined, but not chemically modified: Crude oil: Other</t>
  </si>
  <si>
    <t>CHAPTER 15 - ANIMAL, VEGETABLE OR MICROBIAL FATS AND OILS AND THEIR CLEAVAGE PRODUCTS; PREPARED EDIBLE FATS; ANIMAL OR VEGETABLE WAXES: Palm oil and its fractions, whether or not refined, but not chemically modified: Other: Solid fractions: In immediate packings of a net content not exceeding 1 kg</t>
  </si>
  <si>
    <t>CHAPTER 15 - ANIMAL OR VEGETABLE FATS AND OILS AND THEIR CLEAVAGE PRODUCTS; PREPARED EDIBLE FATS; ANIMAL OR VEGETABLE WAXES: Palm oil and its fractions, whether or not refined, but not chemically modified: Other: Solid fractions: In immediate packings of a net content not exceeding 1 kg</t>
  </si>
  <si>
    <t>CHAPTER 15 - ANIMAL, VEGETABLE OR MICROBIAL FATS AND OILS AND THEIR CLEAVAGE PRODUCTS; PREPARED EDIBLE FATS; ANIMAL OR VEGETABLE WAXES: Palm oil and its fractions, whether or not refined, but not chemically modified: Other: Solid fractions: Other</t>
  </si>
  <si>
    <t>CHAPTER 15 - ANIMAL OR VEGETABLE FATS AND OILS AND THEIR CLEAVAGE PRODUCTS; PREPARED EDIBLE FATS; ANIMAL OR VEGETABLE WAXES: Palm oil and its fractions, whether or not refined, but not chemically modified: Other: Solid fractions: Other</t>
  </si>
  <si>
    <t>CHAPTER 15 - ANIMAL, VEGETABLE OR MICROBIAL FATS AND OILS AND THEIR CLEAVAGE PRODUCTS; PREPARED EDIBLE FATS; ANIMAL OR VEGETABLE WAXES: Palm oil and its fractions, whether or not refined, but not chemically modified: Other: Other: For technical or industrial uses other than the manufacture of foodstuffs for human consumption</t>
  </si>
  <si>
    <t>CHAPTER 15 - ANIMAL OR VEGETABLE FATS AND OILS AND THEIR CLEAVAGE PRODUCTS; PREPARED EDIBLE FATS; ANIMAL OR VEGETABLE WAXES: Palm oil and its fractions, whether or not refined, but not chemically modified: Other: Other: For technical or industrial uses other than the manufacture of foodstuffs for human consumption</t>
  </si>
  <si>
    <t>CHAPTER 15 - ANIMAL, VEGETABLE OR MICROBIAL FATS AND OILS AND THEIR CLEAVAGE PRODUCTS; PREPARED EDIBLE FATS; ANIMAL OR VEGETABLE WAXES: Palm oil and its fractions, whether or not refined, but not chemically modified: Other: Other: Other</t>
  </si>
  <si>
    <t>CHAPTER 15 - ANIMAL OR VEGETABLE FATS AND OILS AND THEIR CLEAVAGE PRODUCTS; PREPARED EDIBLE FATS; ANIMAL OR VEGETABLE WAXES: Palm oil and its fractions, whether or not refined, but not chemically modified: Other: Other: Other</t>
  </si>
  <si>
    <t>CHAPTER 15 - ANIMAL, VEGETABLE OR MICROBIAL FATS AND OILS AND THEIR CLEAVAGE PRODUCTS; PREPARED EDIBLE FATS; ANIMAL OR VEGETABLE WAXES: Sunflower-seed, safflower or cotton-seed oil and fractions thereof, whether or not refined, but not chemically modified: Sunflower-seed or safflower oil and fractions thereof: Crude oil: For technical or industrial uses other than the manufacture of foodstuffs for human consumption</t>
  </si>
  <si>
    <t>CHAPTER 15 - ANIMAL OR VEGETABLE FATS AND OILS AND THEIR CLEAVAGE PRODUCTS; PREPARED EDIBLE FATS; ANIMAL OR VEGETABLE WAXES: Sunflower-seed, safflower or cotton-seed oil and fractions thereof, whether or not refined, but not chemically modified: Sunflower-seed or safflower oil and fractions thereof: Crude oil: For technical or industrial uses other than the manufacture of foodstuffs for human consumption</t>
  </si>
  <si>
    <t>Sunflower-seed oil</t>
  </si>
  <si>
    <t>CHAPTER 15 - ANIMAL, VEGETABLE OR MICROBIAL FATS AND OILS AND THEIR CLEAVAGE PRODUCTS; PREPARED EDIBLE FATS; ANIMAL OR VEGETABLE WAXES: Sunflower-seed, safflower or cotton-seed oil and fractions thereof, whether or not refined, but not chemically modified: Sunflower-seed or safflower oil and fractions thereof: Crude oil: Other: Sunflower-seed oil</t>
  </si>
  <si>
    <t>CHAPTER 15 - ANIMAL OR VEGETABLE FATS AND OILS AND THEIR CLEAVAGE PRODUCTS; PREPARED EDIBLE FATS; ANIMAL OR VEGETABLE WAXES: Sunflower-seed, safflower or cotton-seed oil and fractions thereof, whether or not refined, but not chemically modified: Sunflower-seed or safflower oil and fractions thereof: Crude oil: Other: Sunflower-seed oil</t>
  </si>
  <si>
    <t>Safflower oil</t>
  </si>
  <si>
    <t>CHAPTER 15 - ANIMAL, VEGETABLE OR MICROBIAL FATS AND OILS AND THEIR CLEAVAGE PRODUCTS; PREPARED EDIBLE FATS; ANIMAL OR VEGETABLE WAXES: Sunflower-seed, safflower or cotton-seed oil and fractions thereof, whether or not refined, but not chemically modified: Sunflower-seed or safflower oil and fractions thereof: Crude oil: Other: Safflower oil</t>
  </si>
  <si>
    <t>CHAPTER 15 - ANIMAL OR VEGETABLE FATS AND OILS AND THEIR CLEAVAGE PRODUCTS; PREPARED EDIBLE FATS; ANIMAL OR VEGETABLE WAXES: Sunflower-seed, safflower or cotton-seed oil and fractions thereof, whether or not refined, but not chemically modified: Sunflower-seed or safflower oil and fractions thereof: Crude oil: Other: Safflower oil</t>
  </si>
  <si>
    <t>CHAPTER 15 - ANIMAL, VEGETABLE OR MICROBIAL FATS AND OILS AND THEIR CLEAVAGE PRODUCTS; PREPARED EDIBLE FATS; ANIMAL OR VEGETABLE WAXES: Sunflower-seed, safflower or cotton-seed oil and fractions thereof, whether or not refined, but not chemically modified: Sunflower-seed or safflower oil and fractions thereof: Other: For technical or industrial uses other than the manufacture of foodstuffs for human consumption</t>
  </si>
  <si>
    <t>CHAPTER 15 - ANIMAL OR VEGETABLE FATS AND OILS AND THEIR CLEAVAGE PRODUCTS; PREPARED EDIBLE FATS; ANIMAL OR VEGETABLE WAXES: Sunflower-seed, safflower or cotton-seed oil and fractions thereof, whether or not refined, but not chemically modified: Sunflower-seed or safflower oil and fractions thereof: Other: For technical or industrial uses other than the manufacture of foodstuffs for human consumption</t>
  </si>
  <si>
    <t>CHAPTER 15 - ANIMAL, VEGETABLE OR MICROBIAL FATS AND OILS AND THEIR CLEAVAGE PRODUCTS; PREPARED EDIBLE FATS; ANIMAL OR VEGETABLE WAXES: Sunflower-seed, safflower or cotton-seed oil and fractions thereof, whether or not refined, but not chemically modified: Sunflower-seed or safflower oil and fractions thereof: Other: Other</t>
  </si>
  <si>
    <t>CHAPTER 15 - ANIMAL OR VEGETABLE FATS AND OILS AND THEIR CLEAVAGE PRODUCTS; PREPARED EDIBLE FATS; ANIMAL OR VEGETABLE WAXES: Sunflower-seed, safflower or cotton-seed oil and fractions thereof, whether or not refined, but not chemically modified: Sunflower-seed or safflower oil and fractions thereof: Other: Other</t>
  </si>
  <si>
    <t>CHAPTER 15 - ANIMAL, VEGETABLE OR MICROBIAL FATS AND OILS AND THEIR CLEAVAGE PRODUCTS; PREPARED EDIBLE FATS; ANIMAL OR VEGETABLE WAXES: Sunflower-seed, safflower or cotton-seed oil and fractions thereof, whether or not refined, but not chemically modified: Cotton-seed oil and its fractions: Crude oil, whether or not gossypol has been removed: For technical or industrial uses other than the manufacture of foodstuffs for human consumption</t>
  </si>
  <si>
    <t>CHAPTER 15 - ANIMAL OR VEGETABLE FATS AND OILS AND THEIR CLEAVAGE PRODUCTS; PREPARED EDIBLE FATS; ANIMAL OR VEGETABLE WAXES: Sunflower-seed, safflower or cotton-seed oil and fractions thereof, whether or not refined, but not chemically modified: Cotton-seed oil and its fractions: Crude oil, whether or not gossypol has been removed: For technical or industrial uses other than the manufacture of foodstuffs for human consumption</t>
  </si>
  <si>
    <t>CHAPTER 15 - ANIMAL, VEGETABLE OR MICROBIAL FATS AND OILS AND THEIR CLEAVAGE PRODUCTS; PREPARED EDIBLE FATS; ANIMAL OR VEGETABLE WAXES: Sunflower-seed, safflower or cotton-seed oil and fractions thereof, whether or not refined, but not chemically modified: Cotton-seed oil and its fractions: Crude oil, whether or not gossypol has been removed: Other</t>
  </si>
  <si>
    <t>CHAPTER 15 - ANIMAL OR VEGETABLE FATS AND OILS AND THEIR CLEAVAGE PRODUCTS; PREPARED EDIBLE FATS; ANIMAL OR VEGETABLE WAXES: Sunflower-seed, safflower or cotton-seed oil and fractions thereof, whether or not refined, but not chemically modified: Cotton-seed oil and its fractions: Crude oil, whether or not gossypol has been removed: Other</t>
  </si>
  <si>
    <t>CHAPTER 15 - ANIMAL, VEGETABLE OR MICROBIAL FATS AND OILS AND THEIR CLEAVAGE PRODUCTS; PREPARED EDIBLE FATS; ANIMAL OR VEGETABLE WAXES: Sunflower-seed, safflower or cotton-seed oil and fractions thereof, whether or not refined, but not chemically modified: Cotton-seed oil and its fractions: Other: For technical or industrial uses other than the manufacture of foodstuffs for human consumption</t>
  </si>
  <si>
    <t>CHAPTER 15 - ANIMAL OR VEGETABLE FATS AND OILS AND THEIR CLEAVAGE PRODUCTS; PREPARED EDIBLE FATS; ANIMAL OR VEGETABLE WAXES: Sunflower-seed, safflower or cotton-seed oil and fractions thereof, whether or not refined, but not chemically modified: Cotton-seed oil and its fractions: Other: For technical or industrial uses other than the manufacture of foodstuffs for human consumption</t>
  </si>
  <si>
    <t>CHAPTER 15 - ANIMAL, VEGETABLE OR MICROBIAL FATS AND OILS AND THEIR CLEAVAGE PRODUCTS; PREPARED EDIBLE FATS; ANIMAL OR VEGETABLE WAXES: Sunflower-seed, safflower or cotton-seed oil and fractions thereof, whether or not refined, but not chemically modified: Cotton-seed oil and its fractions: Other: Other</t>
  </si>
  <si>
    <t>CHAPTER 15 - ANIMAL OR VEGETABLE FATS AND OILS AND THEIR CLEAVAGE PRODUCTS; PREPARED EDIBLE FATS; ANIMAL OR VEGETABLE WAXES: Sunflower-seed, safflower or cotton-seed oil and fractions thereof, whether or not refined, but not chemically modified: Cotton-seed oil and its fractions: Other: Other</t>
  </si>
  <si>
    <t>CHAPTER 15 - ANIMAL, VEGETABLE OR MICROBIAL FATS AND OILS AND THEIR CLEAVAGE PRODUCTS; PREPARED EDIBLE FATS; ANIMAL OR VEGETABLE WAXES: Coconut (copra), palm kernel or babassu oil and fractions thereof, whether or not refined, but not chemically modified: Coconut (copra) oil and its fractions: Crude oil: For technical or industrial uses other than the manufacture of foodstuffs for human consumption</t>
  </si>
  <si>
    <t>CHAPTER 15 - ANIMAL OR VEGETABLE FATS AND OILS AND THEIR CLEAVAGE PRODUCTS; PREPARED EDIBLE FATS; ANIMAL OR VEGETABLE WAXES: Coconut (copra), palm kernel or babassu oil and fractions thereof, whether or not refined, but not chemically modified: Coconut (copra) oil and its fractions: Crude oil: For technical or industrial uses other than the manufacture of foodstuffs for human consumption</t>
  </si>
  <si>
    <t>CHAPTER 15 - ANIMAL, VEGETABLE OR MICROBIAL FATS AND OILS AND THEIR CLEAVAGE PRODUCTS; PREPARED EDIBLE FATS; ANIMAL OR VEGETABLE WAXES: Coconut (copra), palm kernel or babassu oil and fractions thereof, whether or not refined, but not chemically modified: Coconut (copra) oil and its fractions: Crude oil: Other: In immediate packings of a net content not exceeding 1 kg</t>
  </si>
  <si>
    <t>CHAPTER 15 - ANIMAL OR VEGETABLE FATS AND OILS AND THEIR CLEAVAGE PRODUCTS; PREPARED EDIBLE FATS; ANIMAL OR VEGETABLE WAXES: Coconut (copra), palm kernel or babassu oil and fractions thereof, whether or not refined, but not chemically modified: Coconut (copra) oil and its fractions: Crude oil: Other: In immediate packings of a net content not exceeding 1 kg</t>
  </si>
  <si>
    <t>CHAPTER 15 - ANIMAL, VEGETABLE OR MICROBIAL FATS AND OILS AND THEIR CLEAVAGE PRODUCTS; PREPARED EDIBLE FATS; ANIMAL OR VEGETABLE WAXES: Coconut (copra), palm kernel or babassu oil and fractions thereof, whether or not refined, but not chemically modified: Coconut (copra) oil and its fractions: Crude oil: Other: Other</t>
  </si>
  <si>
    <t>CHAPTER 15 - ANIMAL OR VEGETABLE FATS AND OILS AND THEIR CLEAVAGE PRODUCTS; PREPARED EDIBLE FATS; ANIMAL OR VEGETABLE WAXES: Coconut (copra), palm kernel or babassu oil and fractions thereof, whether or not refined, but not chemically modified: Coconut (copra) oil and its fractions: Crude oil: Other: Other</t>
  </si>
  <si>
    <t>CHAPTER 15 - ANIMAL, VEGETABLE OR MICROBIAL FATS AND OILS AND THEIR CLEAVAGE PRODUCTS; PREPARED EDIBLE FATS; ANIMAL OR VEGETABLE WAXES: Coconut (copra), palm kernel or babassu oil and fractions thereof, whether or not refined, but not chemically modified: Coconut (copra) oil and its fractions: Other: Solid fractions: In immediate packings of a net content not exceeding 1 kg</t>
  </si>
  <si>
    <t>CHAPTER 15 - ANIMAL OR VEGETABLE FATS AND OILS AND THEIR CLEAVAGE PRODUCTS; PREPARED EDIBLE FATS; ANIMAL OR VEGETABLE WAXES: Coconut (copra), palm kernel or babassu oil and fractions thereof, whether or not refined, but not chemically modified: Coconut (copra) oil and its fractions: Other: Solid fractions: In immediate packings of a net content not exceeding 1 kg</t>
  </si>
  <si>
    <t>CHAPTER 15 - ANIMAL, VEGETABLE OR MICROBIAL FATS AND OILS AND THEIR CLEAVAGE PRODUCTS; PREPARED EDIBLE FATS; ANIMAL OR VEGETABLE WAXES: Coconut (copra), palm kernel or babassu oil and fractions thereof, whether or not refined, but not chemically modified: Coconut (copra) oil and its fractions: Other: Solid fractions: Other</t>
  </si>
  <si>
    <t>CHAPTER 15 - ANIMAL OR VEGETABLE FATS AND OILS AND THEIR CLEAVAGE PRODUCTS; PREPARED EDIBLE FATS; ANIMAL OR VEGETABLE WAXES: Coconut (copra), palm kernel or babassu oil and fractions thereof, whether or not refined, but not chemically modified: Coconut (copra) oil and its fractions: Other: Solid fractions: Other</t>
  </si>
  <si>
    <t>CHAPTER 15 - ANIMAL, VEGETABLE OR MICROBIAL FATS AND OILS AND THEIR CLEAVAGE PRODUCTS; PREPARED EDIBLE FATS; ANIMAL OR VEGETABLE WAXES: Coconut (copra), palm kernel or babassu oil and fractions thereof, whether or not refined, but not chemically modified: Coconut (copra) oil and its fractions: Other: Other: For technical or industrial uses other than the manufacture of foodstuffs for human consumption</t>
  </si>
  <si>
    <t>CHAPTER 15 - ANIMAL OR VEGETABLE FATS AND OILS AND THEIR CLEAVAGE PRODUCTS; PREPARED EDIBLE FATS; ANIMAL OR VEGETABLE WAXES: Coconut (copra), palm kernel or babassu oil and fractions thereof, whether or not refined, but not chemically modified: Coconut (copra) oil and its fractions: Other: Other: For technical or industrial uses other than the manufacture of foodstuffs for human consumption</t>
  </si>
  <si>
    <t>CHAPTER 15 - ANIMAL, VEGETABLE OR MICROBIAL FATS AND OILS AND THEIR CLEAVAGE PRODUCTS; PREPARED EDIBLE FATS; ANIMAL OR VEGETABLE WAXES: Coconut (copra), palm kernel or babassu oil and fractions thereof, whether or not refined, but not chemically modified: Coconut (copra) oil and its fractions: Other: Other: Other: In immediate packings of a net content not exceeding 1 kg</t>
  </si>
  <si>
    <t>CHAPTER 15 - ANIMAL OR VEGETABLE FATS AND OILS AND THEIR CLEAVAGE PRODUCTS; PREPARED EDIBLE FATS; ANIMAL OR VEGETABLE WAXES: Coconut (copra), palm kernel or babassu oil and fractions thereof, whether or not refined, but not chemically modified: Coconut (copra) oil and its fractions: Other: Other: Other: In immediate packings of a net content not exceeding 1 kg</t>
  </si>
  <si>
    <t>CHAPTER 15 - ANIMAL, VEGETABLE OR MICROBIAL FATS AND OILS AND THEIR CLEAVAGE PRODUCTS; PREPARED EDIBLE FATS; ANIMAL OR VEGETABLE WAXES: Coconut (copra), palm kernel or babassu oil and fractions thereof, whether or not refined, but not chemically modified: Coconut (copra) oil and its fractions: Other: Other: Other: Other</t>
  </si>
  <si>
    <t>CHAPTER 15 - ANIMAL OR VEGETABLE FATS AND OILS AND THEIR CLEAVAGE PRODUCTS; PREPARED EDIBLE FATS; ANIMAL OR VEGETABLE WAXES: Coconut (copra), palm kernel or babassu oil and fractions thereof, whether or not refined, but not chemically modified: Coconut (copra) oil and its fractions: Other: Other: Other: Other</t>
  </si>
  <si>
    <t>CHAPTER 15 - ANIMAL, VEGETABLE OR MICROBIAL FATS AND OILS AND THEIR CLEAVAGE PRODUCTS; PREPARED EDIBLE FATS; ANIMAL OR VEGETABLE WAXES: Coconut (copra), palm kernel or babassu oil and fractions thereof, whether or not refined, but not chemically modified: Palm kernel or babassu oil and fractions thereof: Crude oil: For technical or industrial uses other than the manufacture of foodstuffs for human consumption</t>
  </si>
  <si>
    <t>CHAPTER 15 - ANIMAL OR VEGETABLE FATS AND OILS AND THEIR CLEAVAGE PRODUCTS; PREPARED EDIBLE FATS; ANIMAL OR VEGETABLE WAXES: Coconut (copra), palm kernel or babassu oil and fractions thereof, whether or not refined, but not chemically modified: Palm kernel or babassu oil and fractions thereof: Crude oil: For technical or industrial uses other than the manufacture of foodstuffs for human consumption</t>
  </si>
  <si>
    <t>CHAPTER 15 - ANIMAL, VEGETABLE OR MICROBIAL FATS AND OILS AND THEIR CLEAVAGE PRODUCTS; PREPARED EDIBLE FATS; ANIMAL OR VEGETABLE WAXES: Coconut (copra), palm kernel or babassu oil and fractions thereof, whether or not refined, but not chemically modified: Palm kernel or babassu oil and fractions thereof: Crude oil: Other: In immediate packings of a net content not exceeding 1 kg</t>
  </si>
  <si>
    <t>CHAPTER 15 - ANIMAL OR VEGETABLE FATS AND OILS AND THEIR CLEAVAGE PRODUCTS; PREPARED EDIBLE FATS; ANIMAL OR VEGETABLE WAXES: Coconut (copra), palm kernel or babassu oil and fractions thereof, whether or not refined, but not chemically modified: Palm kernel or babassu oil and fractions thereof: Crude oil: Other: In immediate packings of a net content not exceeding 1 kg</t>
  </si>
  <si>
    <t>CHAPTER 15 - ANIMAL, VEGETABLE OR MICROBIAL FATS AND OILS AND THEIR CLEAVAGE PRODUCTS; PREPARED EDIBLE FATS; ANIMAL OR VEGETABLE WAXES: Coconut (copra), palm kernel or babassu oil and fractions thereof, whether or not refined, but not chemically modified: Palm kernel or babassu oil and fractions thereof: Crude oil: Other: Other</t>
  </si>
  <si>
    <t>CHAPTER 15 - ANIMAL OR VEGETABLE FATS AND OILS AND THEIR CLEAVAGE PRODUCTS; PREPARED EDIBLE FATS; ANIMAL OR VEGETABLE WAXES: Coconut (copra), palm kernel or babassu oil and fractions thereof, whether or not refined, but not chemically modified: Palm kernel or babassu oil and fractions thereof: Crude oil: Other: Other</t>
  </si>
  <si>
    <t>CHAPTER 15 - ANIMAL, VEGETABLE OR MICROBIAL FATS AND OILS AND THEIR CLEAVAGE PRODUCTS; PREPARED EDIBLE FATS; ANIMAL OR VEGETABLE WAXES: Coconut (copra), palm kernel or babassu oil and fractions thereof, whether or not refined, but not chemically modified: Palm kernel or babassu oil and fractions thereof: Other: Solid fractions: In immediate packings of a net content not exceeding 1 kg</t>
  </si>
  <si>
    <t>CHAPTER 15 - ANIMAL OR VEGETABLE FATS AND OILS AND THEIR CLEAVAGE PRODUCTS; PREPARED EDIBLE FATS; ANIMAL OR VEGETABLE WAXES: Coconut (copra), palm kernel or babassu oil and fractions thereof, whether or not refined, but not chemically modified: Palm kernel or babassu oil and fractions thereof: Other: Solid fractions: In immediate packings of a net content not exceeding 1 kg</t>
  </si>
  <si>
    <t>CHAPTER 15 - ANIMAL, VEGETABLE OR MICROBIAL FATS AND OILS AND THEIR CLEAVAGE PRODUCTS; PREPARED EDIBLE FATS; ANIMAL OR VEGETABLE WAXES: Coconut (copra), palm kernel or babassu oil and fractions thereof, whether or not refined, but not chemically modified: Palm kernel or babassu oil and fractions thereof: Other: Solid fractions: Other</t>
  </si>
  <si>
    <t>CHAPTER 15 - ANIMAL OR VEGETABLE FATS AND OILS AND THEIR CLEAVAGE PRODUCTS; PREPARED EDIBLE FATS; ANIMAL OR VEGETABLE WAXES: Coconut (copra), palm kernel or babassu oil and fractions thereof, whether or not refined, but not chemically modified: Palm kernel or babassu oil and fractions thereof: Other: Solid fractions: Other</t>
  </si>
  <si>
    <t>CHAPTER 15 - ANIMAL, VEGETABLE OR MICROBIAL FATS AND OILS AND THEIR CLEAVAGE PRODUCTS; PREPARED EDIBLE FATS; ANIMAL OR VEGETABLE WAXES: Coconut (copra), palm kernel or babassu oil and fractions thereof, whether or not refined, but not chemically modified: Palm kernel or babassu oil and fractions thereof: Other: Other: For technical or industrial uses other than the manufacture of foodstuffs for human consumption</t>
  </si>
  <si>
    <t>CHAPTER 15 - ANIMAL OR VEGETABLE FATS AND OILS AND THEIR CLEAVAGE PRODUCTS; PREPARED EDIBLE FATS; ANIMAL OR VEGETABLE WAXES: Coconut (copra), palm kernel or babassu oil and fractions thereof, whether or not refined, but not chemically modified: Palm kernel or babassu oil and fractions thereof: Other: Other: For technical or industrial uses other than the manufacture of foodstuffs for human consumption</t>
  </si>
  <si>
    <t>CHAPTER 15 - ANIMAL, VEGETABLE OR MICROBIAL FATS AND OILS AND THEIR CLEAVAGE PRODUCTS; PREPARED EDIBLE FATS; ANIMAL OR VEGETABLE WAXES: Coconut (copra), palm kernel or babassu oil and fractions thereof, whether or not refined, but not chemically modified: Palm kernel or babassu oil and fractions thereof: Other: Other: Other: In immediate packings of a net content not exceeding 1 kg</t>
  </si>
  <si>
    <t>CHAPTER 15 - ANIMAL OR VEGETABLE FATS AND OILS AND THEIR CLEAVAGE PRODUCTS; PREPARED EDIBLE FATS; ANIMAL OR VEGETABLE WAXES: Coconut (copra), palm kernel or babassu oil and fractions thereof, whether or not refined, but not chemically modified: Palm kernel or babassu oil and fractions thereof: Other: Other: Other: In immediate packings of a net content not exceeding 1 kg</t>
  </si>
  <si>
    <t>CHAPTER 15 - ANIMAL, VEGETABLE OR MICROBIAL FATS AND OILS AND THEIR CLEAVAGE PRODUCTS; PREPARED EDIBLE FATS; ANIMAL OR VEGETABLE WAXES: Coconut (copra), palm kernel or babassu oil and fractions thereof, whether or not refined, but not chemically modified: Palm kernel or babassu oil and fractions thereof: Other: Other: Other: Other</t>
  </si>
  <si>
    <t>CHAPTER 15 - ANIMAL OR VEGETABLE FATS AND OILS AND THEIR CLEAVAGE PRODUCTS; PREPARED EDIBLE FATS; ANIMAL OR VEGETABLE WAXES: Coconut (copra), palm kernel or babassu oil and fractions thereof, whether or not refined, but not chemically modified: Palm kernel or babassu oil and fractions thereof: Other: Other: Other: Other</t>
  </si>
  <si>
    <t>CHAPTER 15 - ANIMAL, VEGETABLE OR MICROBIAL FATS AND OILS AND THEIR CLEAVAGE PRODUCTS; PREPARED EDIBLE FATS; ANIMAL OR VEGETABLE WAXES: Rape, colza or mustard oil and fractions thereof, whether or not refined, but not chemically modified: Low-erucic-acid rape or colza oil and its fractions: Crude oil: For technical or industrial uses other than the manufacture of foodstuffs for human consumption</t>
  </si>
  <si>
    <t>CHAPTER 15 - ANIMAL OR VEGETABLE FATS AND OILS AND THEIR CLEAVAGE PRODUCTS; PREPARED EDIBLE FATS; ANIMAL OR VEGETABLE WAXES: Rape, colza or mustard oil and fractions thereof, whether or not refined, but not chemically modified: Low-erucic-acid rape or colza oil and its fractions: Crude oil: For technical or industrial uses other than the manufacture of foodstuffs for human consumption</t>
  </si>
  <si>
    <t>CHAPTER 15 - ANIMAL, VEGETABLE OR MICROBIAL FATS AND OILS AND THEIR CLEAVAGE PRODUCTS; PREPARED EDIBLE FATS; ANIMAL OR VEGETABLE WAXES: Rape, colza or mustard oil and fractions thereof, whether or not refined, but not chemically modified: Low-erucic-acid rape or colza oil and its fractions: Crude oil: Other</t>
  </si>
  <si>
    <t>CHAPTER 15 - ANIMAL OR VEGETABLE FATS AND OILS AND THEIR CLEAVAGE PRODUCTS; PREPARED EDIBLE FATS; ANIMAL OR VEGETABLE WAXES: Rape, colza or mustard oil and fractions thereof, whether or not refined, but not chemically modified: Low-erucic-acid rape or colza oil and its fractions: Crude oil: Other</t>
  </si>
  <si>
    <t>CHAPTER 15 - ANIMAL, VEGETABLE OR MICROBIAL FATS AND OILS AND THEIR CLEAVAGE PRODUCTS; PREPARED EDIBLE FATS; ANIMAL OR VEGETABLE WAXES: Rape, colza or mustard oil and fractions thereof, whether or not refined, but not chemically modified: Low-erucic-acid rape or colza oil and its fractions: Other: For technical or industrial uses other than the manufacture of foodstuffs for human consumption</t>
  </si>
  <si>
    <t>CHAPTER 15 - ANIMAL OR VEGETABLE FATS AND OILS AND THEIR CLEAVAGE PRODUCTS; PREPARED EDIBLE FATS; ANIMAL OR VEGETABLE WAXES: Rape, colza or mustard oil and fractions thereof, whether or not refined, but not chemically modified: Low-erucic-acid rape or colza oil and its fractions: Other: For technical or industrial uses other than the manufacture of foodstuffs for human consumption</t>
  </si>
  <si>
    <t>CHAPTER 15 - ANIMAL, VEGETABLE OR MICROBIAL FATS AND OILS AND THEIR CLEAVAGE PRODUCTS; PREPARED EDIBLE FATS; ANIMAL OR VEGETABLE WAXES: Rape, colza or mustard oil and fractions thereof, whether or not refined, but not chemically modified: Low-erucic-acid rape or colza oil and its fractions: Other: Other</t>
  </si>
  <si>
    <t>CHAPTER 15 - ANIMAL OR VEGETABLE FATS AND OILS AND THEIR CLEAVAGE PRODUCTS; PREPARED EDIBLE FATS; ANIMAL OR VEGETABLE WAXES: Rape, colza or mustard oil and fractions thereof, whether or not refined, but not chemically modified: Low-erucic-acid rape or colza oil and its fractions: Other: Other</t>
  </si>
  <si>
    <t>CHAPTER 15 - ANIMAL, VEGETABLE OR MICROBIAL FATS AND OILS AND THEIR CLEAVAGE PRODUCTS; PREPARED EDIBLE FATS; ANIMAL OR VEGETABLE WAXES: Rape, colza or mustard oil and fractions thereof, whether or not refined, but not chemically modified: Other: Crude oil: For technical or industrial uses other than the manufacture of foodstuffs for human consumption</t>
  </si>
  <si>
    <t>CHAPTER 15 - ANIMAL OR VEGETABLE FATS AND OILS AND THEIR CLEAVAGE PRODUCTS; PREPARED EDIBLE FATS; ANIMAL OR VEGETABLE WAXES: Rape, colza or mustard oil and fractions thereof, whether or not refined, but not chemically modified: Other: Crude oil: For technical or industrial uses other than the manufacture of foodstuffs for human consumption</t>
  </si>
  <si>
    <t>CHAPTER 15 - ANIMAL, VEGETABLE OR MICROBIAL FATS AND OILS AND THEIR CLEAVAGE PRODUCTS; PREPARED EDIBLE FATS; ANIMAL OR VEGETABLE WAXES: Rape, colza or mustard oil and fractions thereof, whether or not refined, but not chemically modified: Other: Crude oil: Other</t>
  </si>
  <si>
    <t>CHAPTER 15 - ANIMAL OR VEGETABLE FATS AND OILS AND THEIR CLEAVAGE PRODUCTS; PREPARED EDIBLE FATS; ANIMAL OR VEGETABLE WAXES: Rape, colza or mustard oil and fractions thereof, whether or not refined, but not chemically modified: Other: Crude oil: Other</t>
  </si>
  <si>
    <t>CHAPTER 15 - ANIMAL, VEGETABLE OR MICROBIAL FATS AND OILS AND THEIR CLEAVAGE PRODUCTS; PREPARED EDIBLE FATS; ANIMAL OR VEGETABLE WAXES: Rape, colza or mustard oil and fractions thereof, whether or not refined, but not chemically modified: Other: Other: For technical or industrial uses other than the manufacture of foodstuffs for human consumption</t>
  </si>
  <si>
    <t>CHAPTER 15 - ANIMAL OR VEGETABLE FATS AND OILS AND THEIR CLEAVAGE PRODUCTS; PREPARED EDIBLE FATS; ANIMAL OR VEGETABLE WAXES: Rape, colza or mustard oil and fractions thereof, whether or not refined, but not chemically modified: Other: Other: For technical or industrial uses other than the manufacture of foodstuffs for human consumption</t>
  </si>
  <si>
    <t>CHAPTER 15 - ANIMAL, VEGETABLE OR MICROBIAL FATS AND OILS AND THEIR CLEAVAGE PRODUCTS; PREPARED EDIBLE FATS; ANIMAL OR VEGETABLE WAXES: Rape, colza or mustard oil and fractions thereof, whether or not refined, but not chemically modified: Other: Other: Other</t>
  </si>
  <si>
    <t>CHAPTER 15 - ANIMAL OR VEGETABLE FATS AND OILS AND THEIR CLEAVAGE PRODUCTS; PREPARED EDIBLE FATS; ANIMAL OR VEGETABLE WAXES: Rape, colza or mustard oil and fractions thereof, whether or not refined, but not chemically modified: Other: Other: Other</t>
  </si>
  <si>
    <t>Crude oil</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</si>
  <si>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Linseed oil and its fractions: Crude oil</t>
  </si>
  <si>
    <t>CHAPTER 15 - ANIMAL OR VEGETABLE FATS AND OILS AND THEIR CLEAVAGE PRODUCTS; PREPARED EDIBLE FATS; ANIMAL OR VEGETABLE WAXES: Other fixed vegetable fats and oils (including jojoba oil) and their fractions, whether or not refined, but not chemically modified: Linseed oil and its fractions: Crude oil</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</si>
  <si>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Linseed oil and its fractions: Other: For technical or industrial uses other than the manufacture of foodstuffs for human consumption</t>
  </si>
  <si>
    <t>CHAPTER 15 - ANIMAL OR VEGETABLE FATS AND OILS AND THEIR CLEAVAGE PRODUCTS; PREPARED EDIBLE FATS; ANIMAL OR VEGETABLE WAXES: Other fixed vegetable fats and oils (including jojoba oil) and their fractions, whether or not refined, but not chemically modified: Linseed oil and its fractions: Other: For technical or industrial uses other than the manufacture of foodstuffs for human consumption</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</si>
  <si>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Linseed oil and its fractions: Other: Other</t>
  </si>
  <si>
    <t>CHAPTER 15 - ANIMAL OR VEGETABLE FATS AND OILS AND THEIR CLEAVAGE PRODUCTS; PREPARED EDIBLE FATS; ANIMAL OR VEGETABLE WAXES: Other fixed vegetable fats and oils (including jojoba oil) and their fractions, whether or not refined, but not chemically modified: Linseed oil and its fractions: Other: Other</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</si>
  <si>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Maize (corn) oil and its fractions: Crude oil: For technical or industrial uses other than the manufacture of foodstuffs for human consumption</t>
  </si>
  <si>
    <t>CHAPTER 15 - ANIMAL OR VEGETABLE FATS AND OILS AND THEIR CLEAVAGE PRODUCTS; PREPARED EDIBLE FATS; ANIMAL OR VEGETABLE WAXES: Other fixed vegetable fats and oils (including jojoba oil) and their fractions, whether or not refined, but not chemically modified: Maize (corn) oil and its fractions: Crude oil: For technical or industrial uses other than the manufacture of foodstuffs for human consumption</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</si>
  <si>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Maize (corn) oil and its fractions: Crude oil: Other</t>
  </si>
  <si>
    <t>CHAPTER 15 - ANIMAL OR VEGETABLE FATS AND OILS AND THEIR CLEAVAGE PRODUCTS; PREPARED EDIBLE FATS; ANIMAL OR VEGETABLE WAXES: Other fixed vegetable fats and oils (including jojoba oil) and their fractions, whether or not refined, but not chemically modified: Maize (corn) oil and its fractions: Crude oil: Other</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</si>
  <si>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Maize (corn) oil and its fractions: Other: For technical or industrial uses other than the manufacture of foodstuffs for human consumption</t>
  </si>
  <si>
    <t>CHAPTER 15 - ANIMAL OR VEGETABLE FATS AND OILS AND THEIR CLEAVAGE PRODUCTS; PREPARED EDIBLE FATS; ANIMAL OR VEGETABLE WAXES: Other fixed vegetable fats and oils (including jojoba oil) and their fractions, whether or not refined, but not chemically modified: Maize (corn) oil and its fractions: Other: For technical or industrial uses other than the manufacture of foodstuffs for human consumption</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</si>
  <si>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Maize (corn) oil and its fractions: Other: Other</t>
  </si>
  <si>
    <t>CHAPTER 15 - ANIMAL OR VEGETABLE FATS AND OILS AND THEIR CLEAVAGE PRODUCTS; PREPARED EDIBLE FATS; ANIMAL OR VEGETABLE WAXES: Other fixed vegetable fats and oils (including jojoba oil) and their fractions, whether or not refined, but not chemically modified: Maize (corn) oil and its fractions: Other: Other</t>
  </si>
  <si>
    <t>For the production of aminoundecanoic acid for use in the manufacture of synthetic textile fibres or of artificial plastic materials</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</si>
  <si>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Castor oil and its fractions: For the production of aminoundecanoic acid for use in the manufacture of synthetic textile fibres or of artificial plastic materials</t>
  </si>
  <si>
    <t>CHAPTER 15 - ANIMAL OR VEGETABLE FATS AND OILS AND THEIR CLEAVAGE PRODUCTS; PREPARED EDIBLE FATS; ANIMAL OR VEGETABLE WAXES: Other fixed vegetable fats and oils (including jojoba oil) and their fractions, whether or not refined, but not chemically modified: Castor oil and its fractions: For the production of aminoundecanoic acid for use in the manufacture of synthetic textile fibres or of artificial plastic materials</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</si>
  <si>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Castor oil and its fractions: Other</t>
  </si>
  <si>
    <t>CHAPTER 15 - ANIMAL OR VEGETABLE FATS AND OILS AND THEIR CLEAVAGE PRODUCTS; PREPARED EDIBLE FATS; ANIMAL OR VEGETABLE WAXES: Other fixed vegetable fats and oils (including jojoba oil) and their fractions, whether or not refined, but not chemically modified: Castor oil and its fractions: Other</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</si>
  <si>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Sesame oil and its fractions: Crude oil: For technical or industrial uses other than the manufacture of foodstuffs for human consumption</t>
  </si>
  <si>
    <t>CHAPTER 15 - ANIMAL OR VEGETABLE FATS AND OILS AND THEIR CLEAVAGE PRODUCTS; PREPARED EDIBLE FATS; ANIMAL OR VEGETABLE WAXES: Other fixed vegetable fats and oils (including jojoba oil) and their fractions, whether or not refined, but not chemically modified: Sesame oil and its fractions: Crude oil: For technical or industrial uses other than the manufacture of foodstuffs for human consumption</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</si>
  <si>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Sesame oil and its fractions: Crude oil: Other</t>
  </si>
  <si>
    <t>CHAPTER 15 - ANIMAL OR VEGETABLE FATS AND OILS AND THEIR CLEAVAGE PRODUCTS; PREPARED EDIBLE FATS; ANIMAL OR VEGETABLE WAXES: Other fixed vegetable fats and oils (including jojoba oil) and their fractions, whether or not refined, but not chemically modified: Sesame oil and its fractions: Crude oil: Other</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</si>
  <si>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Sesame oil and its fractions: Other: For technical or industrial uses other than the manufacture of foodstuffs for human consumption</t>
  </si>
  <si>
    <t>CHAPTER 15 - ANIMAL OR VEGETABLE FATS AND OILS AND THEIR CLEAVAGE PRODUCTS; PREPARED EDIBLE FATS; ANIMAL OR VEGETABLE WAXES: Other fixed vegetable fats and oils (including jojoba oil) and their fractions, whether or not refined, but not chemically modified: Sesame oil and its fractions: Other: For technical or industrial uses other than the manufacture of foodstuffs for human consumption</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</si>
  <si>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Sesame oil and its fractions: Other: Other</t>
  </si>
  <si>
    <t>CHAPTER 15 - ANIMAL OR VEGETABLE FATS AND OILS AND THEIR CLEAVAGE PRODUCTS; PREPARED EDIBLE FATS; ANIMAL OR VEGETABLE WAXES: Other fixed vegetable fats and oils (including jojoba oil) and their fractions, whether or not refined, but not chemically modified: Sesame oil and its fractions: Other: Other</t>
  </si>
  <si>
    <t>Tung oil; jojoba and oiticica oils; myrtle wax and Japan wax; their fractions</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</si>
  <si>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Other: Tung oil; jojoba and oiticica oils; myrtle wax and Japan wax; their fractions</t>
  </si>
  <si>
    <t>CHAPTER 15 - ANIMAL OR VEGETABLE FATS AND OILS AND THEIR CLEAVAGE PRODUCTS; PREPARED EDIBLE FATS; ANIMAL OR VEGETABLE WAXES: Other fixed vegetable fats and oils (including jojoba oil) and their fractions, whether or not refined, but not chemically modified: Other: Tung oil; jojoba and oiticica oils; myrtle wax and Japan wax; their fractions</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</si>
  <si>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Other: Tobacco-seed oil and its fractions: Crude oil: For technical or industrial uses other than the manufacture of foodstuffs for human consumption</t>
  </si>
  <si>
    <t>CHAPTER 15 - ANIMAL OR VEGETABLE FATS AND OILS AND THEIR CLEAVAGE PRODUCTS; PREPARED EDIBLE FATS; ANIMAL OR VEGETABLE WAXES: Other fixed vegetable fats and oils (including jojoba oil) and their fractions, whether or not refined, but not chemically modified: Other: Tobacco-seed oil and its fractions: Crude oil: For technical or industrial uses other than the manufacture of foodstuffs for human consumption</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</si>
  <si>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Other: Tobacco-seed oil and its fractions: Crude oil: Other</t>
  </si>
  <si>
    <t>CHAPTER 15 - ANIMAL OR VEGETABLE FATS AND OILS AND THEIR CLEAVAGE PRODUCTS; PREPARED EDIBLE FATS; ANIMAL OR VEGETABLE WAXES: Other fixed vegetable fats and oils (including jojoba oil) and their fractions, whether or not refined, but not chemically modified: Other: Tobacco-seed oil and its fractions: Crude oil: Other</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</si>
  <si>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Other: Tobacco-seed oil and its fractions: Other: For technical or industrial uses other than the manufacture of foodstuffs for human consumption</t>
  </si>
  <si>
    <t>CHAPTER 15 - ANIMAL OR VEGETABLE FATS AND OILS AND THEIR CLEAVAGE PRODUCTS; PREPARED EDIBLE FATS; ANIMAL OR VEGETABLE WAXES: Other fixed vegetable fats and oils (including jojoba oil) and their fractions, whether or not refined, but not chemically modified: Other: Tobacco-seed oil and its fractions: Other: For technical or industrial uses other than the manufacture of foodstuffs for human consumption</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</si>
  <si>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Other: Tobacco-seed oil and its fractions: Other: Other</t>
  </si>
  <si>
    <t>CHAPTER 15 - ANIMAL OR VEGETABLE FATS AND OILS AND THEIR CLEAVAGE PRODUCTS; PREPARED EDIBLE FATS; ANIMAL OR VEGETABLE WAXES: Other fixed vegetable fats and oils (including jojoba oil) and their fractions, whether or not refined, but not chemically modified: Other: Tobacco-seed oil and its fractions: Other: Other</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</si>
  <si>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Other: Other oils and their fractions: Crude oils: For technical or industrial uses other than the manufacture of foodstuffs for human consumption</t>
  </si>
  <si>
    <t>CHAPTER 15 - ANIMAL OR VEGETABLE FATS AND OILS AND THEIR CLEAVAGE PRODUCTS; PREPARED EDIBLE FATS; ANIMAL OR VEGETABLE WAXES: Other fixed vegetable fats and oils (including jojoba oil) and their fractions, whether or not refined, but not chemically modified: Other: Other oils and their fractions: Crude oils: For technical or industrial uses other than the manufacture of foodstuffs for human consumption</t>
  </si>
  <si>
    <t>Solid, in immediate packings of a net content not exceeding 1 kg</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</si>
  <si>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Other: Other oils and their fractions: Crude oils: Other: Solid, in immediate packings of a net content not exceeding 1 kg</t>
  </si>
  <si>
    <t>CHAPTER 15 - ANIMAL OR VEGETABLE FATS AND OILS AND THEIR CLEAVAGE PRODUCTS; PREPARED EDIBLE FATS; ANIMAL OR VEGETABLE WAXES: Other fixed vegetable fats and oils (including jojoba oil) and their fractions, whether or not refined, but not chemically modified: Other: Other oils and their fractions: Crude oils: Other: Solid, in immediate packings of a net content not exceeding 1 kg</t>
  </si>
  <si>
    <t>Solid, other; fluid</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</si>
  <si>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Other: Other oils and their fractions: Crude oils: Other: Solid, other; fluid</t>
  </si>
  <si>
    <t>CHAPTER 15 - ANIMAL OR VEGETABLE FATS AND OILS AND THEIR CLEAVAGE PRODUCTS; PREPARED EDIBLE FATS; ANIMAL OR VEGETABLE WAXES: Other fixed vegetable fats and oils (including jojoba oil) and their fractions, whether or not refined, but not chemically modified: Other: Other oils and their fractions: Crude oils: Other: Solid, other; fluid</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</si>
  <si>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Other: Other oils and their fractions: Other: For technical or industrial uses other than the manufacture of foodstuffs for human consumption</t>
  </si>
  <si>
    <t>CHAPTER 15 - ANIMAL OR VEGETABLE FATS AND OILS AND THEIR CLEAVAGE PRODUCTS; PREPARED EDIBLE FATS; ANIMAL OR VEGETABLE WAXES: Other fixed vegetable fats and oils (including jojoba oil) and their fractions, whether or not refined, but not chemically modified: Other: Other oils and their fractions: Other: For technical or industrial uses other than the manufacture of foodstuffs for human consumption</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</si>
  <si>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Other: Other oils and their fractions: Other: Other: Solid, in immediate packings of a net content not exceeding 1 kg</t>
  </si>
  <si>
    <t>CHAPTER 15 - ANIMAL OR VEGETABLE FATS AND OILS AND THEIR CLEAVAGE PRODUCTS; PREPARED EDIBLE FATS; ANIMAL OR VEGETABLE WAXES: Other fixed vegetable fats and oils (including jojoba oil) and their fractions, whether or not refined, but not chemically modified: Other: Other oils and their fractions: Other: Other: Solid, in immediate packings of a net content not exceeding 1 kg</t>
  </si>
  <si>
    <t>CHAPTER 15 - ANIMAL, VEGETABLE OR MICROBIAL FATS AND OILS AND THEIR CLEAVAGE PRODUCTS; PREPARED EDIBLE FATS; ANIMAL OR VEGETABLE WAXES: Other fixed vegetable or microbial fats and oils (including jojoba oil) and their fractions, whether or not refined, but not chemically modified: Other: Other oils and their fractions: Other: Other: Solid, other; fluid</t>
  </si>
  <si>
    <t>CHAPTER 15 - ANIMAL OR VEGETABLE FATS AND OILS AND THEIR CLEAVAGE PRODUCTS; PREPARED EDIBLE FATS; ANIMAL OR VEGETABLE WAXES: Other fixed vegetable fats and oils (including jojoba oil) and their fractions, whether or not refined, but not chemically modified: Other: Other oils and their fractions: Other: Other: Solid, other; fluid</t>
  </si>
  <si>
    <t>CHAPTER 15 - ANIMAL, VEGETABLE OR MICROBIAL FATS AND OILS AND THEIR CLEAVAGE PRODUCTS; PREPARED EDIBLE FATS; ANIMAL OR VEGETABLE WAXES: Animal, vegetable or microbial fats and oils and their fractions, partly or wholly hydrogenated, inter-esterified, re-esterified or elaidinised, whether or not refined, but not further prepared: Animal fats and oils and their fractions: In immediate packings of a net content not exceeding 1 kg</t>
  </si>
  <si>
    <t>CHAPTER 15 - ANIMAL OR VEGETABLE FATS AND OILS AND THEIR CLEAVAGE PRODUCTS; PREPARED EDIBLE FATS; ANIMAL OR VEGETABLE WAXES: Animal or vegetable fats and oils and their fractions, partly or wholly hydrogenated, inter-esterified, re-esterified or elaidinised, whether or not refined, but not further prepared: Animal fats and oils and their fractions: In immediate packings of a net content not exceeding 1 kg</t>
  </si>
  <si>
    <t>CHAPTER 15 - ANIMAL, VEGETABLE OR MICROBIAL FATS AND OILS AND THEIR CLEAVAGE PRODUCTS; PREPARED EDIBLE FATS; ANIMAL OR VEGETABLE WAXES: Animal, vegetable or microbial fats and oils and their fractions, partly or wholly hydrogenated, inter-esterified, re-esterified or elaidinised, whether or not refined, but not further prepared: Animal fats and oils and their fractions: Other</t>
  </si>
  <si>
    <t>CHAPTER 15 - ANIMAL OR VEGETABLE FATS AND OILS AND THEIR CLEAVAGE PRODUCTS; PREPARED EDIBLE FATS; ANIMAL OR VEGETABLE WAXES: Animal or vegetable fats and oils and their fractions, partly or wholly hydrogenated, inter-esterified, re-esterified or elaidinised, whether or not refined, but not further prepared: Animal fats and oils and their fractions: Other</t>
  </si>
  <si>
    <t>Hydrogenated castor oil, so called ‘opal-wax’</t>
  </si>
  <si>
    <t>CHAPTER 15 - ANIMAL, VEGETABLE OR MICROBIAL FATS AND OILS AND THEIR CLEAVAGE PRODUCTS; PREPARED EDIBLE FATS; ANIMAL OR VEGETABLE WAXES: Animal, vegetable or microbial fats and oils and their fractions, partly or wholly hydrogenated, inter-esterified, re-esterified or elaidinised, whether or not refined, but not further prepared: Vegetable fats and oils and their fractions: Hydrogenated castor oil, so called ‘opal-wax’</t>
  </si>
  <si>
    <t>CHAPTER 15 - ANIMAL OR VEGETABLE FATS AND OILS AND THEIR CLEAVAGE PRODUCTS; PREPARED EDIBLE FATS; ANIMAL OR VEGETABLE WAXES: Animal or vegetable fats and oils and their fractions, partly or wholly hydrogenated, inter-esterified, re-esterified or elaidinised, whether or not refined, but not further prepared: Vegetable fats and oils and their fractions: Hydrogenated castor oil, so called ‘opal-wax’</t>
  </si>
  <si>
    <t>CHAPTER 15 - ANIMAL, VEGETABLE OR MICROBIAL FATS AND OILS AND THEIR CLEAVAGE PRODUCTS; PREPARED EDIBLE FATS; ANIMAL OR VEGETABLE WAXES: Animal, vegetable or microbial fats and oils and their fractions, partly or wholly hydrogenated, inter-esterified, re-esterified or elaidinised, whether or not refined, but not further prepared: Vegetable fats and oils and their fractions: Other: In immediate packings of a net content not exceeding 1 kg</t>
  </si>
  <si>
    <t>CHAPTER 15 - ANIMAL OR VEGETABLE FATS AND OILS AND THEIR CLEAVAGE PRODUCTS; PREPARED EDIBLE FATS; ANIMAL OR VEGETABLE WAXES: Animal or vegetable fats and oils and their fractions, partly or wholly hydrogenated, inter-esterified, re-esterified or elaidinised, whether or not refined, but not further prepared: Vegetable fats and oils and their fractions: Other: In immediate packings of a net content not exceeding 1 kg</t>
  </si>
  <si>
    <t>Colza, linseed, rapeseed, sunflower-seed, illipe, karite, makore, touloucouna or babassu oils, for technical or industrial uses other than the manufacture of foodstuffs for human consumption</t>
  </si>
  <si>
    <t>CHAPTER 15 - ANIMAL, VEGETABLE OR MICROBIAL FATS AND OILS AND THEIR CLEAVAGE PRODUCTS; PREPARED EDIBLE FATS; ANIMAL OR VEGETABLE WAXES: Animal, vegetable or microbial fats and oils and their fractions, partly or wholly hydrogenated, inter-esterified, re-esterified or elaidinised, whether or not refined, but not further prepared: Vegetable fats and oils and their fractions: Other: Other: Colza, linseed, rapeseed, sunflower-seed, illipe, karite, makore, touloucouna or babassu oils, for technical or industrial uses other than the manufacture of foodstuffs for human consumption</t>
  </si>
  <si>
    <t>CHAPTER 15 - ANIMAL OR VEGETABLE FATS AND OILS AND THEIR CLEAVAGE PRODUCTS; PREPARED EDIBLE FATS; ANIMAL OR VEGETABLE WAXES: Animal or vegetable fats and oils and their fractions, partly or wholly hydrogenated, inter-esterified, re-esterified or elaidinised, whether or not refined, but not further prepared: Vegetable fats and oils and their fractions: Other: Other: Colza, linseed, rapeseed, sunflower-seed, illipe, karite, makore, touloucouna or babassu oils, for technical or industrial uses other than the manufacture of foodstuffs for human consumption</t>
  </si>
  <si>
    <t>Groundnut, cotton-seed, soya-bean or sunflower-seed oils; other oils containing less than 50 % by weight of free fatty acids and excluding palm kernel, illipe, coconut, colza, rapeseed or copaiba oils</t>
  </si>
  <si>
    <t>CHAPTER 15 - ANIMAL, VEGETABLE OR MICROBIAL FATS AND OILS AND THEIR CLEAVAGE PRODUCTS; PREPARED EDIBLE FATS; ANIMAL OR VEGETABLE WAXES: Animal, vegetable or microbial fats and oils and their fractions, partly or wholly hydrogenated, inter-esterified, re-esterified or elaidinised, whether or not refined, but not further prepared: Vegetable fats and oils and their fractions: Other: Other: Other: Groundnut, cotton-seed, soya-bean or sunflower-seed oils; other oils containing less than 50 % by weight of free fatty acids and excluding palm kernel, illipe, coconut, colza, rapeseed or copaiba oils</t>
  </si>
  <si>
    <t>CHAPTER 15 - ANIMAL OR VEGETABLE FATS AND OILS AND THEIR CLEAVAGE PRODUCTS; PREPARED EDIBLE FATS; ANIMAL OR VEGETABLE WAXES: Animal or vegetable fats and oils and their fractions, partly or wholly hydrogenated, inter-esterified, re-esterified or elaidinised, whether or not refined, but not further prepared: Vegetable fats and oils and their fractions: Other: Other: Other: Groundnut, cotton-seed, soya-bean or sunflower-seed oils; other oils containing less than 50 % by weight of free fatty acids and excluding palm kernel, illipe, coconut, colza, rapeseed or copaiba oils</t>
  </si>
  <si>
    <t>CHAPTER 15 - ANIMAL, VEGETABLE OR MICROBIAL FATS AND OILS AND THEIR CLEAVAGE PRODUCTS; PREPARED EDIBLE FATS; ANIMAL OR VEGETABLE WAXES: Animal, vegetable or microbial fats and oils and their fractions, partly or wholly hydrogenated, inter-esterified, re-esterified or elaidinised, whether or not refined, but not further prepared: Vegetable fats and oils and their fractions: Other: Other: Other: Other</t>
  </si>
  <si>
    <t>CHAPTER 15 - ANIMAL OR VEGETABLE FATS AND OILS AND THEIR CLEAVAGE PRODUCTS; PREPARED EDIBLE FATS; ANIMAL OR VEGETABLE WAXES: Animal or vegetable fats and oils and their fractions, partly or wholly hydrogenated, inter-esterified, re-esterified or elaidinised, whether or not refined, but not further prepared: Vegetable fats and oils and their fractions: Other: Other: Other: Other</t>
  </si>
  <si>
    <t>Containing, by weight, more than 10 % but not more than 15 % of milkfats</t>
  </si>
  <si>
    <t>CHAPTER 15 - ANIMAL, VEGETABLE OR MICROBIAL FATS AND OILS AND THEIR CLEAVAGE PRODUCTS; PREPARED EDIBLE FATS; ANIMAL OR VEGETABLE WAXES: Margarine; edible mixtures or preparations of animal, vegetable or microbial fats or oils or of fractions of different fats or oils of this chapter, other than edible fats or oils or their fractions of heading 1516: Margarine, excluding liquid margarine: Containing, by weight, more than 10 % but not more than 15 % of milkfats</t>
  </si>
  <si>
    <t>CHAPTER 15 - ANIMAL OR VEGETABLE FATS AND OILS AND THEIR CLEAVAGE PRODUCTS; PREPARED EDIBLE FATS; ANIMAL OR VEGETABLE WAXES: Margarine; edible mixtures or preparations of animal or vegetable fats or oils or of fractions of different fats or oils of this chapter, other than edible fats or oils or their fractions of heading 1516: Margarine, excluding liquid margarine: Containing, by weight, more than 10 % but not more than 15 % of milkfats</t>
  </si>
  <si>
    <t>CHAPTER 15 - ANIMAL, VEGETABLE OR MICROBIAL FATS AND OILS AND THEIR CLEAVAGE PRODUCTS; PREPARED EDIBLE FATS; ANIMAL OR VEGETABLE WAXES: Margarine; edible mixtures or preparations of animal, vegetable or microbial fats or oils or of fractions of different fats or oils of this chapter, other than edible fats or oils or their fractions of heading 1516: Margarine, excluding liquid margarine: Other</t>
  </si>
  <si>
    <t>CHAPTER 15 - ANIMAL OR VEGETABLE FATS AND OILS AND THEIR CLEAVAGE PRODUCTS; PREPARED EDIBLE FATS; ANIMAL OR VEGETABLE WAXES: Margarine; edible mixtures or preparations of animal or vegetable fats or oils or of fractions of different fats or oils of this chapter, other than edible fats or oils or their fractions of heading 1516: Margarine, excluding liquid margarine: Other</t>
  </si>
  <si>
    <t>CHAPTER 15 - ANIMAL, VEGETABLE OR MICROBIAL FATS AND OILS AND THEIR CLEAVAGE PRODUCTS; PREPARED EDIBLE FATS; ANIMAL OR VEGETABLE WAXES: Margarine; edible mixtures or preparations of animal, vegetable or microbial fats or oils or of fractions of different fats or oils of this chapter, other than edible fats or oils or their fractions of heading 1516: Other: Containing, by weight, more than 10 % but not more than 15 % of milkfats</t>
  </si>
  <si>
    <t>CHAPTER 15 - ANIMAL OR VEGETABLE FATS AND OILS AND THEIR CLEAVAGE PRODUCTS; PREPARED EDIBLE FATS; ANIMAL OR VEGETABLE WAXES: Margarine; edible mixtures or preparations of animal or vegetable fats or oils or of fractions of different fats or oils of this chapter, other than edible fats or oils or their fractions of heading 1516: Other: Containing, by weight, more than 10 % but not more than 15 % of milkfats</t>
  </si>
  <si>
    <t>Fixed vegetable oils, fluid, mixed</t>
  </si>
  <si>
    <t>CHAPTER 15 - ANIMAL, VEGETABLE OR MICROBIAL FATS AND OILS AND THEIR CLEAVAGE PRODUCTS; PREPARED EDIBLE FATS; ANIMAL OR VEGETABLE WAXES: Margarine; edible mixtures or preparations of animal, vegetable or microbial fats or oils or of fractions of different fats or oils of this chapter, other than edible fats or oils or their fractions of heading 1516: Other: Other: Fixed vegetable oils, fluid, mixed</t>
  </si>
  <si>
    <t>CHAPTER 15 - ANIMAL OR VEGETABLE FATS AND OILS AND THEIR CLEAVAGE PRODUCTS; PREPARED EDIBLE FATS; ANIMAL OR VEGETABLE WAXES: Margarine; edible mixtures or preparations of animal or vegetable fats or oils or of fractions of different fats or oils of this chapter, other than edible fats or oils or their fractions of heading 1516: Other: Other: Fixed vegetable oils, fluid, mixed</t>
  </si>
  <si>
    <t>Edible mixtures or preparations of a kind used as mould-release preparations</t>
  </si>
  <si>
    <t>CHAPTER 15 - ANIMAL, VEGETABLE OR MICROBIAL FATS AND OILS AND THEIR CLEAVAGE PRODUCTS; PREPARED EDIBLE FATS; ANIMAL OR VEGETABLE WAXES: Margarine; edible mixtures or preparations of animal, vegetable or microbial fats or oils or of fractions of different fats or oils of this chapter, other than edible fats or oils or their fractions of heading 1516: Other: Other: Edible mixtures or preparations of a kind used as mould-release preparations</t>
  </si>
  <si>
    <t>CHAPTER 15 - ANIMAL OR VEGETABLE FATS AND OILS AND THEIR CLEAVAGE PRODUCTS; PREPARED EDIBLE FATS; ANIMAL OR VEGETABLE WAXES: Margarine; edible mixtures or preparations of animal or vegetable fats or oils or of fractions of different fats or oils of this chapter, other than edible fats or oils or their fractions of heading 1516: Other: Other: Edible mixtures or preparations of a kind used as mould-release preparations</t>
  </si>
  <si>
    <t>CHAPTER 15 - ANIMAL, VEGETABLE OR MICROBIAL FATS AND OILS AND THEIR CLEAVAGE PRODUCTS; PREPARED EDIBLE FATS; ANIMAL OR VEGETABLE WAXES: Margarine; edible mixtures or preparations of animal, vegetable or microbial fats or oils or of fractions of different fats or oils of this chapter, other than edible fats or oils or their fractions of heading 1516: Other: Other: Other</t>
  </si>
  <si>
    <t>CHAPTER 15 - ANIMAL OR VEGETABLE FATS AND OILS AND THEIR CLEAVAGE PRODUCTS; PREPARED EDIBLE FATS; ANIMAL OR VEGETABLE WAXES: Margarine; edible mixtures or preparations of animal or vegetable fats or oils or of fractions of different fats or oils of this chapter, other than edible fats or oils or their fractions of heading 1516: Other: Other: Other</t>
  </si>
  <si>
    <t>Linoxyn</t>
  </si>
  <si>
    <t>CHAPTER 15 - ANIMAL, VEGETABLE OR MICROBIAL FATS AND OILS AND THEIR CLEAVAGE PRODUCTS; PREPARED EDIBLE FATS; ANIMAL OR VEGETABLE WAXES: Animal, vegetable or microbial fats and oils and their fractions, boiled, oxidised, dehydrated, sulphurised, blown, polymerised by heat in vacuum or in inert gas or otherwise chemically modified, excluding those of heading 1516; inedible mixtures or preparations of animal, vegetable or microbial fats or oils or of fractions of different fats or oils of this chapter, not elsewhere specified or included: Linoxyn</t>
  </si>
  <si>
    <t>CHAPTER 15 - ANIMAL OR VEGETABLE FATS AND OILS AND THEIR CLEAVAGE PRODUCTS; PREPARED EDIBLE FATS; ANIMAL OR VEGETABLE WAXES: Animal or vegetable fats and oils and their fractions, boiled, oxidised, dehydrated, sulphurised, blown, polymerised by heat in vacuum or in inert gas or otherwise chemically modified, excluding those of heading 1516; inedible mixtures or preparations of animal or vegetable fats or oils or of fractions of different fats or oils of this chapter, not elsewhere specified or included: Linoxyn</t>
  </si>
  <si>
    <t>Crude</t>
  </si>
  <si>
    <t>CHAPTER 15 - ANIMAL, VEGETABLE OR MICROBIAL FATS AND OILS AND THEIR CLEAVAGE PRODUCTS; PREPARED EDIBLE FATS; ANIMAL OR VEGETABLE WAXES: Animal, vegetable or microbial fats and oils and their fractions, boiled, oxidised, dehydrated, sulphurised, blown, polymerised by heat in vacuum or in inert gas or otherwise chemically modified, excluding those of heading 1516; inedible mixtures or preparations of animal, vegetable or microbial fats or oils or of fractions of different fats or oils of this chapter, not elsewhere specified or included: Fixed vegetable oils, fluid, mixed, for technical or industrial uses other than the manufacture of foodstuffs for human consumption: Crude</t>
  </si>
  <si>
    <t>CHAPTER 15 - ANIMAL OR VEGETABLE FATS AND OILS AND THEIR CLEAVAGE PRODUCTS; PREPARED EDIBLE FATS; ANIMAL OR VEGETABLE WAXES: Animal or vegetable fats and oils and their fractions, boiled, oxidised, dehydrated, sulphurised, blown, polymerised by heat in vacuum or in inert gas or otherwise chemically modified, excluding those of heading 1516; inedible mixtures or preparations of animal or vegetable fats or oils or of fractions of different fats or oils of this chapter, not elsewhere specified or included: Fixed vegetable oils, fluid, mixed, for technical or industrial uses other than the manufacture of foodstuffs for human consumption: Crude</t>
  </si>
  <si>
    <t>CHAPTER 15 - ANIMAL, VEGETABLE OR MICROBIAL FATS AND OILS AND THEIR CLEAVAGE PRODUCTS; PREPARED EDIBLE FATS; ANIMAL OR VEGETABLE WAXES: Animal, vegetable or microbial fats and oils and their fractions, boiled, oxidised, dehydrated, sulphurised, blown, polymerised by heat in vacuum or in inert gas or otherwise chemically modified, excluding those of heading 1516; inedible mixtures or preparations of animal, vegetable or microbial fats or oils or of fractions of different fats or oils of this chapter, not elsewhere specified or included: Fixed vegetable oils, fluid, mixed, for technical or industrial uses other than the manufacture of foodstuffs for human consumption: Other</t>
  </si>
  <si>
    <t>CHAPTER 15 - ANIMAL OR VEGETABLE FATS AND OILS AND THEIR CLEAVAGE PRODUCTS; PREPARED EDIBLE FATS; ANIMAL OR VEGETABLE WAXES: Animal or vegetable fats and oils and their fractions, boiled, oxidised, dehydrated, sulphurised, blown, polymerised by heat in vacuum or in inert gas or otherwise chemically modified, excluding those of heading 1516; inedible mixtures or preparations of animal or vegetable fats or oils or of fractions of different fats or oils of this chapter, not elsewhere specified or included: Fixed vegetable oils, fluid, mixed, for technical or industrial uses other than the manufacture of foodstuffs for human consumption: Other</t>
  </si>
  <si>
    <t>Animal, vegetable or microbial fats and oils and their fractions, boiled, oxidised, dehydrated, sulphurised, blown, polymerised by heat in vacuum or in inert gas or otherwise chemically modified, excluding those of heading 1516</t>
  </si>
  <si>
    <t>Animal or vegetable fats and oils and their fractions, boiled, oxidised, dehydrated, sulphurised, blown, polymerised by heat in vacuum or in inert gas or otherwise chemically modified, excluding those of heading 1516</t>
  </si>
  <si>
    <t>CHAPTER 15 - ANIMAL, VEGETABLE OR MICROBIAL FATS AND OILS AND THEIR CLEAVAGE PRODUCTS; PREPARED EDIBLE FATS; ANIMAL OR VEGETABLE WAXES: Animal, vegetable or microbial fats and oils and their fractions, boiled, oxidised, dehydrated, sulphurised, blown, polymerised by heat in vacuum or in inert gas or otherwise chemically modified, excluding those of heading 1516; inedible mixtures or preparations of animal, vegetable or microbial fats or oils or of fractions of different fats or oils of this chapter, not elsewhere specified or included: Other: Animal, vegetable or microbial fats and oils and their fractions, boiled, oxidised, dehydrated, sulphurised, blown, polymerised by heat in vacuum or in inert gas or otherwise chemically modified, excluding those of heading 1516</t>
  </si>
  <si>
    <t>CHAPTER 15 - ANIMAL OR VEGETABLE FATS AND OILS AND THEIR CLEAVAGE PRODUCTS; PREPARED EDIBLE FATS; ANIMAL OR VEGETABLE WAXES: Animal or vegetable fats and oils and their fractions, boiled, oxidised, dehydrated, sulphurised, blown, polymerised by heat in vacuum or in inert gas or otherwise chemically modified, excluding those of heading 1516; inedible mixtures or preparations of animal or vegetable fats or oils or of fractions of different fats or oils of this chapter, not elsewhere specified or included: Other: Animal or vegetable fats and oils and their fractions, boiled, oxidised, dehydrated, sulphurised, blown, polymerised by heat in vacuum or in inert gas or otherwise chemically modified, excluding those of heading 1516</t>
  </si>
  <si>
    <t>Inedible mixtures or preparations of animal or of animal, vegetable or microbial fats and oils and their fractions</t>
  </si>
  <si>
    <t>Inedible mixtures or preparations of animal or of animal and vegetable fats and oils and their fractions</t>
  </si>
  <si>
    <t>CHAPTER 15 - ANIMAL, VEGETABLE OR MICROBIAL FATS AND OILS AND THEIR CLEAVAGE PRODUCTS; PREPARED EDIBLE FATS; ANIMAL OR VEGETABLE WAXES: Animal, vegetable or microbial fats and oils and their fractions, boiled, oxidised, dehydrated, sulphurised, blown, polymerised by heat in vacuum or in inert gas or otherwise chemically modified, excluding those of heading 1516; inedible mixtures or preparations of animal, vegetable or microbial fats or oils or of fractions of different fats or oils of this chapter, not elsewhere specified or included: Other: Other: Inedible mixtures or preparations of animal or of animal, vegetable or microbial fats and oils and their fractions</t>
  </si>
  <si>
    <t>CHAPTER 15 - ANIMAL OR VEGETABLE FATS AND OILS AND THEIR CLEAVAGE PRODUCTS; PREPARED EDIBLE FATS; ANIMAL OR VEGETABLE WAXES: Animal or vegetable fats and oils and their fractions, boiled, oxidised, dehydrated, sulphurised, blown, polymerised by heat in vacuum or in inert gas or otherwise chemically modified, excluding those of heading 1516; inedible mixtures or preparations of animal or vegetable fats or oils or of fractions of different fats or oils of this chapter, not elsewhere specified or included: Other: Other: Inedible mixtures or preparations of animal or of animal and vegetable fats and oils and their fractions</t>
  </si>
  <si>
    <t>CHAPTER 15 - ANIMAL, VEGETABLE OR MICROBIAL FATS AND OILS AND THEIR CLEAVAGE PRODUCTS; PREPARED EDIBLE FATS; ANIMAL OR VEGETABLE WAXES: Animal, vegetable or microbial fats and oils and their fractions, boiled, oxidised, dehydrated, sulphurised, blown, polymerised by heat in vacuum or in inert gas or otherwise chemically modified, excluding those of heading 1516; inedible mixtures or preparations of animal, vegetable or microbial fats or oils or of fractions of different fats or oils of this chapter, not elsewhere specified or included: Other: Other: Other</t>
  </si>
  <si>
    <t>CHAPTER 15 - ANIMAL OR VEGETABLE FATS AND OILS AND THEIR CLEAVAGE PRODUCTS; PREPARED EDIBLE FATS; ANIMAL OR VEGETABLE WAXES: Animal or vegetable fats and oils and their fractions, boiled, oxidised, dehydrated, sulphurised, blown, polymerised by heat in vacuum or in inert gas or otherwise chemically modified, excluding those of heading 1516; inedible mixtures or preparations of animal or vegetable fats or oils or of fractions of different fats or oils of this chapter, not elsewhere specified or included: Other: Other: Other</t>
  </si>
  <si>
    <t>Glycerol, crude; glycerol waters and glycerol lyes</t>
  </si>
  <si>
    <t>CHAPTER 15 - ANIMAL, VEGETABLE OR MICROBIAL FATS AND OILS AND THEIR CLEAVAGE PRODUCTS; PREPARED EDIBLE FATS; ANIMAL OR VEGETABLE WAXES: Glycerol, crude; glycerol waters and glycerol lyes</t>
  </si>
  <si>
    <t>CHAPTER 15 - ANIMAL OR VEGETABLE FATS AND OILS AND THEIR CLEAVAGE PRODUCTS; PREPARED EDIBLE FATS; ANIMAL OR VEGETABLE WAXES: Glycerol, crude; glycerol waters and glycerol lyes</t>
  </si>
  <si>
    <t>Vegetable waxes</t>
  </si>
  <si>
    <t>CHAPTER 15 - ANIMAL, VEGETABLE OR MICROBIAL FATS AND OILS AND THEIR CLEAVAGE PRODUCTS; PREPARED EDIBLE FATS; ANIMAL OR VEGETABLE WAXES: Vegetable waxes (other than triglycerides), beeswax, other insect waxes and spermaceti, whether or not refined or coloured: Vegetable waxes</t>
  </si>
  <si>
    <t>CHAPTER 15 - ANIMAL OR VEGETABLE FATS AND OILS AND THEIR CLEAVAGE PRODUCTS; PREPARED EDIBLE FATS; ANIMAL OR VEGETABLE WAXES: Vegetable waxes (other than triglycerides), beeswax, other insect waxes and spermaceti, whether or not refined or coloured: Vegetable waxes</t>
  </si>
  <si>
    <t>Spermaceti, whether or not refined or coloured</t>
  </si>
  <si>
    <t>CHAPTER 15 - ANIMAL, VEGETABLE OR MICROBIAL FATS AND OILS AND THEIR CLEAVAGE PRODUCTS; PREPARED EDIBLE FATS; ANIMAL OR VEGETABLE WAXES: Vegetable waxes (other than triglycerides), beeswax, other insect waxes and spermaceti, whether or not refined or coloured: Other: Spermaceti, whether or not refined or coloured</t>
  </si>
  <si>
    <t>CHAPTER 15 - ANIMAL OR VEGETABLE FATS AND OILS AND THEIR CLEAVAGE PRODUCTS; PREPARED EDIBLE FATS; ANIMAL OR VEGETABLE WAXES: Vegetable waxes (other than triglycerides), beeswax, other insect waxes and spermaceti, whether or not refined or coloured: Other: Spermaceti, whether or not refined or coloured</t>
  </si>
  <si>
    <t>Raw</t>
  </si>
  <si>
    <t>CHAPTER 15 - ANIMAL, VEGETABLE OR MICROBIAL FATS AND OILS AND THEIR CLEAVAGE PRODUCTS; PREPARED EDIBLE FATS; ANIMAL OR VEGETABLE WAXES: Vegetable waxes (other than triglycerides), beeswax, other insect waxes and spermaceti, whether or not refined or coloured: Other: Beeswax and other insect waxes, whether or not refined or coloured: Raw</t>
  </si>
  <si>
    <t>CHAPTER 15 - ANIMAL OR VEGETABLE FATS AND OILS AND THEIR CLEAVAGE PRODUCTS; PREPARED EDIBLE FATS; ANIMAL OR VEGETABLE WAXES: Vegetable waxes (other than triglycerides), beeswax, other insect waxes and spermaceti, whether or not refined or coloured: Other: Beeswax and other insect waxes, whether or not refined or coloured: Raw</t>
  </si>
  <si>
    <t>CHAPTER 15 - ANIMAL, VEGETABLE OR MICROBIAL FATS AND OILS AND THEIR CLEAVAGE PRODUCTS; PREPARED EDIBLE FATS; ANIMAL OR VEGETABLE WAXES: Vegetable waxes (other than triglycerides), beeswax, other insect waxes and spermaceti, whether or not refined or coloured: Other: Beeswax and other insect waxes, whether or not refined or coloured: Other</t>
  </si>
  <si>
    <t>CHAPTER 15 - ANIMAL OR VEGETABLE FATS AND OILS AND THEIR CLEAVAGE PRODUCTS; PREPARED EDIBLE FATS; ANIMAL OR VEGETABLE WAXES: Vegetable waxes (other than triglycerides), beeswax, other insect waxes and spermaceti, whether or not refined or coloured: Other: Beeswax and other insect waxes, whether or not refined or coloured: Other</t>
  </si>
  <si>
    <t>Degras</t>
  </si>
  <si>
    <t>CHAPTER 15 - ANIMAL, VEGETABLE OR MICROBIAL FATS AND OILS AND THEIR CLEAVAGE PRODUCTS; PREPARED EDIBLE FATS; ANIMAL OR VEGETABLE WAXES: Degras; residues resulting from the treatment of fatty substances or animal or vegetable waxes: Degras</t>
  </si>
  <si>
    <t>CHAPTER 15 - ANIMAL OR VEGETABLE FATS AND OILS AND THEIR CLEAVAGE PRODUCTS; PREPARED EDIBLE FATS; ANIMAL OR VEGETABLE WAXES: Degras; residues resulting from the treatment of fatty substances or animal or vegetable waxes: Degras</t>
  </si>
  <si>
    <t>Soapstocks</t>
  </si>
  <si>
    <t>CHAPTER 15 - ANIMAL, VEGETABLE OR MICROBIAL FATS AND OILS AND THEIR CLEAVAGE PRODUCTS; PREPARED EDIBLE FATS; ANIMAL OR VEGETABLE WAXES: Degras; residues resulting from the treatment of fatty substances or animal or vegetable waxes: Residues resulting from the treatment of fatty substances or animal or vegetable waxes: Containing oil having the characteristics of olive oil: Soapstocks</t>
  </si>
  <si>
    <t>CHAPTER 15 - ANIMAL OR VEGETABLE FATS AND OILS AND THEIR CLEAVAGE PRODUCTS; PREPARED EDIBLE FATS; ANIMAL OR VEGETABLE WAXES: Degras; residues resulting from the treatment of fatty substances or animal or vegetable waxes: Residues resulting from the treatment of fatty substances or animal or vegetable waxes: Containing oil having the characteristics of olive oil: Soapstocks</t>
  </si>
  <si>
    <t>CHAPTER 15 - ANIMAL, VEGETABLE OR MICROBIAL FATS AND OILS AND THEIR CLEAVAGE PRODUCTS; PREPARED EDIBLE FATS; ANIMAL OR VEGETABLE WAXES: Degras; residues resulting from the treatment of fatty substances or animal or vegetable waxes: Residues resulting from the treatment of fatty substances or animal or vegetable waxes: Containing oil having the characteristics of olive oil: Other</t>
  </si>
  <si>
    <t>CHAPTER 15 - ANIMAL OR VEGETABLE FATS AND OILS AND THEIR CLEAVAGE PRODUCTS; PREPARED EDIBLE FATS; ANIMAL OR VEGETABLE WAXES: Degras; residues resulting from the treatment of fatty substances or animal or vegetable waxes: Residues resulting from the treatment of fatty substances or animal or vegetable waxes: Containing oil having the characteristics of olive oil: Other</t>
  </si>
  <si>
    <t>Oil foots and dregs; soapstocks</t>
  </si>
  <si>
    <t>CHAPTER 15 - ANIMAL, VEGETABLE OR MICROBIAL FATS AND OILS AND THEIR CLEAVAGE PRODUCTS; PREPARED EDIBLE FATS; ANIMAL OR VEGETABLE WAXES: Degras; residues resulting from the treatment of fatty substances or animal or vegetable waxes: Residues resulting from the treatment of fatty substances or animal or vegetable waxes: Other: Oil foots and dregs; soapstocks</t>
  </si>
  <si>
    <t>CHAPTER 15 - ANIMAL OR VEGETABLE FATS AND OILS AND THEIR CLEAVAGE PRODUCTS; PREPARED EDIBLE FATS; ANIMAL OR VEGETABLE WAXES: Degras; residues resulting from the treatment of fatty substances or animal or vegetable waxes: Residues resulting from the treatment of fatty substances or animal or vegetable waxes: Other: Oil foots and dregs; soapstocks</t>
  </si>
  <si>
    <t>CHAPTER 15 - ANIMAL, VEGETABLE OR MICROBIAL FATS AND OILS AND THEIR CLEAVAGE PRODUCTS; PREPARED EDIBLE FATS; ANIMAL OR VEGETABLE WAXES: Degras; residues resulting from the treatment of fatty substances or animal or vegetable waxes: Residues resulting from the treatment of fatty substances or animal or vegetable waxes: Other: Other</t>
  </si>
  <si>
    <t>CHAPTER 15 - ANIMAL OR VEGETABLE FATS AND OILS AND THEIR CLEAVAGE PRODUCTS; PREPARED EDIBLE FATS; ANIMAL OR VEGETABLE WAXES: Degras; residues resulting from the treatment of fatty substances or animal or vegetable waxes: Residues resulting from the treatment of fatty substances or animal or vegetable waxes: Other: Other</t>
  </si>
  <si>
    <t>Of liver</t>
  </si>
  <si>
    <t>CHAPTER 16 - PREPARATIONS OF MEAT, OF FISH, OF CRUSTACEANS, MOLLUSCS OR OTHER AQUATIC INVERTEBRATES, OR OF INSECTS: Sausages and similar products, of meat, meat offal, blood or insects; food preparations based on these products: Of liver</t>
  </si>
  <si>
    <t>CHAPTER 16 - PREPARATIONS OF MEAT, OF FISH OR OF CRUSTACEANS, MOLLUSCS OR OTHER AQUATIC INVERTEBRATES: Sausages and similar products, of meat, meat offal or blood; food preparations based on these products: Of liver</t>
  </si>
  <si>
    <t>Sausages, dry or for spreading, uncooked</t>
  </si>
  <si>
    <t>CHAPTER 16 - PREPARATIONS OF MEAT, OF FISH, OF CRUSTACEANS, MOLLUSCS OR OTHER AQUATIC INVERTEBRATES, OR OF INSECTS: Sausages and similar products, of meat, meat offal, blood or insects; food preparations based on these products: Other: Sausages, dry or for spreading, uncooked</t>
  </si>
  <si>
    <t>CHAPTER 16 - PREPARATIONS OF MEAT, OF FISH OR OF CRUSTACEANS, MOLLUSCS OR OTHER AQUATIC INVERTEBRATES: Sausages and similar products, of meat, meat offal or blood; food preparations based on these products: Other: Sausages, dry or for spreading, uncooked</t>
  </si>
  <si>
    <t>CHAPTER 16 - PREPARATIONS OF MEAT, OF FISH, OF CRUSTACEANS, MOLLUSCS OR OTHER AQUATIC INVERTEBRATES, OR OF INSECTS: Sausages and similar products, of meat, meat offal, blood or insects; food preparations based on these products: Other: Other</t>
  </si>
  <si>
    <t>CHAPTER 16 - PREPARATIONS OF MEAT, OF FISH OR OF CRUSTACEANS, MOLLUSCS OR OTHER AQUATIC INVERTEBRATES: Sausages and similar products, of meat, meat offal or blood; food preparations based on these products: Other: Other</t>
  </si>
  <si>
    <t>Homogenised preparations</t>
  </si>
  <si>
    <t>CHAPTER 16 - PREPARATIONS OF MEAT, OF FISH, OF CRUSTACEANS, MOLLUSCS OR OTHER AQUATIC INVERTEBRATES, OR OF INSECTS: Other prepared or preserved meat, meat offal, blood or insects: Homogenised preparations</t>
  </si>
  <si>
    <t>CHAPTER 16 - PREPARATIONS OF MEAT, OF FISH OR OF CRUSTACEANS, MOLLUSCS OR OTHER AQUATIC INVERTEBRATES: Other prepared or preserved meat, meat offal or blood: Homogenised preparations</t>
  </si>
  <si>
    <t>Goose or duck liver</t>
  </si>
  <si>
    <t>CHAPTER 16 - PREPARATIONS OF MEAT, OF FISH, OF CRUSTACEANS, MOLLUSCS OR OTHER AQUATIC INVERTEBRATES, OR OF INSECTS: Other prepared or preserved meat, meat offal, blood or insects: Of liver of any animal: Goose or duck liver</t>
  </si>
  <si>
    <t>CHAPTER 16 - PREPARATIONS OF MEAT, OF FISH OR OF CRUSTACEANS, MOLLUSCS OR OTHER AQUATIC INVERTEBRATES: Other prepared or preserved meat, meat offal or blood: Of liver of any animal: Goose or duck liver</t>
  </si>
  <si>
    <t>CHAPTER 16 - PREPARATIONS OF MEAT, OF FISH, OF CRUSTACEANS, MOLLUSCS OR OTHER AQUATIC INVERTEBRATES, OR OF INSECTS: Other prepared or preserved meat, meat offal, blood or insects: Of liver of any animal: Other</t>
  </si>
  <si>
    <t>CHAPTER 16 - PREPARATIONS OF MEAT, OF FISH OR OF CRUSTACEANS, MOLLUSCS OR OTHER AQUATIC INVERTEBRATES: Other prepared or preserved meat, meat offal or blood: Of liver of any animal: Other</t>
  </si>
  <si>
    <t>Containing exclusively uncooked turkey meat</t>
  </si>
  <si>
    <t>CHAPTER 16 - PREPARATIONS OF MEAT, OF FISH, OF CRUSTACEANS, MOLLUSCS OR OTHER AQUATIC INVERTEBRATES, OR OF INSECTS: Other prepared or preserved meat, meat offal, blood or insects: Of poultry of heading 0105: Of turkeys: Containing 57 % or more by weight of poultry meat or offal: Containing exclusively uncooked turkey meat</t>
  </si>
  <si>
    <t>CHAPTER 16 - PREPARATIONS OF MEAT, OF FISH OR OF CRUSTACEANS, MOLLUSCS OR OTHER AQUATIC INVERTEBRATES: Other prepared or preserved meat, meat offal or blood: Of poultry of heading 0105: Of turkeys: Containing 57 % or more by weight of poultry meat or offal: Containing exclusively uncooked turkey meat</t>
  </si>
  <si>
    <t>CHAPTER 16 - PREPARATIONS OF MEAT, OF FISH, OF CRUSTACEANS, MOLLUSCS OR OTHER AQUATIC INVERTEBRATES, OR OF INSECTS: Other prepared or preserved meat, meat offal, blood or insects: Of poultry of heading 0105: Of turkeys: Containing 57 % or more by weight of poultry meat or offal: Other</t>
  </si>
  <si>
    <t>CHAPTER 16 - PREPARATIONS OF MEAT, OF FISH OR OF CRUSTACEANS, MOLLUSCS OR OTHER AQUATIC INVERTEBRATES: Other prepared or preserved meat, meat offal or blood: Of poultry of heading 0105: Of turkeys: Containing 57 % or more by weight of poultry meat or offal: Other</t>
  </si>
  <si>
    <t>CHAPTER 16 - PREPARATIONS OF MEAT, OF FISH, OF CRUSTACEANS, MOLLUSCS OR OTHER AQUATIC INVERTEBRATES, OR OF INSECTS: Other prepared or preserved meat, meat offal, blood or insects: Of poultry of heading 0105: Of turkeys: Other</t>
  </si>
  <si>
    <t>CHAPTER 16 - PREPARATIONS OF MEAT, OF FISH OR OF CRUSTACEANS, MOLLUSCS OR OTHER AQUATIC INVERTEBRATES: Other prepared or preserved meat, meat offal or blood: Of poultry of heading 0105: Of turkeys: Other</t>
  </si>
  <si>
    <t>Uncooked</t>
  </si>
  <si>
    <t>CHAPTER 16 - PREPARATIONS OF MEAT, OF FISH, OF CRUSTACEANS, MOLLUSCS OR OTHER AQUATIC INVERTEBRATES, OR OF INSECTS: Other prepared or preserved meat, meat offal, blood or insects: Of poultry of heading 0105: Of fowls of the species Gallus domesticus: Containing 57 % or more by weight of poultry meat or offal: Uncooked</t>
  </si>
  <si>
    <t>CHAPTER 16 - PREPARATIONS OF MEAT, OF FISH OR OF CRUSTACEANS, MOLLUSCS OR OTHER AQUATIC INVERTEBRATES: Other prepared or preserved meat, meat offal or blood: Of poultry of heading 0105: Of fowls of the species Gallus domesticus: Containing 57 % or more by weight of poultry meat or offal: Uncooked</t>
  </si>
  <si>
    <t>CHAPTER 16 - PREPARATIONS OF MEAT, OF FISH, OF CRUSTACEANS, MOLLUSCS OR OTHER AQUATIC INVERTEBRATES, OR OF INSECTS: Other prepared or preserved meat, meat offal, blood or insects: Of poultry of heading 0105: Of fowls of the species Gallus domesticus: Containing 57 % or more by weight of poultry meat or offal: Other</t>
  </si>
  <si>
    <t>CHAPTER 16 - PREPARATIONS OF MEAT, OF FISH OR OF CRUSTACEANS, MOLLUSCS OR OTHER AQUATIC INVERTEBRATES: Other prepared or preserved meat, meat offal or blood: Of poultry of heading 0105: Of fowls of the species Gallus domesticus: Containing 57 % or more by weight of poultry meat or offal: Other</t>
  </si>
  <si>
    <t>Containing 25 % or more but less than 57 % by weight of poultry meat or offal</t>
  </si>
  <si>
    <t>CHAPTER 16 - PREPARATIONS OF MEAT, OF FISH, OF CRUSTACEANS, MOLLUSCS OR OTHER AQUATIC INVERTEBRATES, OR OF INSECTS: Other prepared or preserved meat, meat offal, blood or insects: Of poultry of heading 0105: Of fowls of the species Gallus domesticus: Containing 25 % or more but less than 57 % by weight of poultry meat or offal</t>
  </si>
  <si>
    <t>CHAPTER 16 - PREPARATIONS OF MEAT, OF FISH OR OF CRUSTACEANS, MOLLUSCS OR OTHER AQUATIC INVERTEBRATES: Other prepared or preserved meat, meat offal or blood: Of poultry of heading 0105: Of fowls of the species Gallus domesticus: Containing 25 % or more but less than 57 % by weight of poultry meat or offal</t>
  </si>
  <si>
    <t>CHAPTER 16 - PREPARATIONS OF MEAT, OF FISH, OF CRUSTACEANS, MOLLUSCS OR OTHER AQUATIC INVERTEBRATES, OR OF INSECTS: Other prepared or preserved meat, meat offal, blood or insects: Of poultry of heading 0105: Of fowls of the species Gallus domesticus: Other</t>
  </si>
  <si>
    <t>CHAPTER 16 - PREPARATIONS OF MEAT, OF FISH OR OF CRUSTACEANS, MOLLUSCS OR OTHER AQUATIC INVERTEBRATES: Other prepared or preserved meat, meat offal or blood: Of poultry of heading 0105: Of fowls of the species Gallus domesticus: Other</t>
  </si>
  <si>
    <t>CHAPTER 16 - PREPARATIONS OF MEAT, OF FISH, OF CRUSTACEANS, MOLLUSCS OR OTHER AQUATIC INVERTEBRATES, OR OF INSECTS: Other prepared or preserved meat, meat offal, blood or insects: Of poultry of heading 0105: Other: Containing 57 % or more by weight of poultry meat or offal: Uncooked</t>
  </si>
  <si>
    <t>CHAPTER 16 - PREPARATIONS OF MEAT, OF FISH OR OF CRUSTACEANS, MOLLUSCS OR OTHER AQUATIC INVERTEBRATES: Other prepared or preserved meat, meat offal or blood: Of poultry of heading 0105: Other: Containing 57 % or more by weight of poultry meat or offal: Uncooked</t>
  </si>
  <si>
    <t>CHAPTER 16 - PREPARATIONS OF MEAT, OF FISH, OF CRUSTACEANS, MOLLUSCS OR OTHER AQUATIC INVERTEBRATES, OR OF INSECTS: Other prepared or preserved meat, meat offal, blood or insects: Of poultry of heading 0105: Other: Containing 57 % or more by weight of poultry meat or offal: Other</t>
  </si>
  <si>
    <t>CHAPTER 16 - PREPARATIONS OF MEAT, OF FISH OR OF CRUSTACEANS, MOLLUSCS OR OTHER AQUATIC INVERTEBRATES: Other prepared or preserved meat, meat offal or blood: Of poultry of heading 0105: Other: Containing 57 % or more by weight of poultry meat or offal: Other</t>
  </si>
  <si>
    <t>CHAPTER 16 - PREPARATIONS OF MEAT, OF FISH, OF CRUSTACEANS, MOLLUSCS OR OTHER AQUATIC INVERTEBRATES, OR OF INSECTS: Other prepared or preserved meat, meat offal, blood or insects: Of poultry of heading 0105: Other: Other</t>
  </si>
  <si>
    <t>CHAPTER 16 - PREPARATIONS OF MEAT, OF FISH OR OF CRUSTACEANS, MOLLUSCS OR OTHER AQUATIC INVERTEBRATES: Other prepared or preserved meat, meat offal or blood: Of poultry of heading 0105: Other: Other</t>
  </si>
  <si>
    <t>Of domestic swine</t>
  </si>
  <si>
    <t>CHAPTER 16 - PREPARATIONS OF MEAT, OF FISH, OF CRUSTACEANS, MOLLUSCS OR OTHER AQUATIC INVERTEBRATES, OR OF INSECTS: Other prepared or preserved meat, meat offal, blood or insects: Of swine: Hams and cuts thereof: Of domestic swine</t>
  </si>
  <si>
    <t>CHAPTER 16 - PREPARATIONS OF MEAT, OF FISH OR OF CRUSTACEANS, MOLLUSCS OR OTHER AQUATIC INVERTEBRATES: Other prepared or preserved meat, meat offal or blood: Of swine: Hams and cuts thereof: Of domestic swine</t>
  </si>
  <si>
    <t>CHAPTER 16 - PREPARATIONS OF MEAT, OF FISH, OF CRUSTACEANS, MOLLUSCS OR OTHER AQUATIC INVERTEBRATES, OR OF INSECTS: Other prepared or preserved meat, meat offal, blood or insects: Of swine: Hams and cuts thereof: Other</t>
  </si>
  <si>
    <t>CHAPTER 16 - PREPARATIONS OF MEAT, OF FISH OR OF CRUSTACEANS, MOLLUSCS OR OTHER AQUATIC INVERTEBRATES: Other prepared or preserved meat, meat offal or blood: Of swine: Hams and cuts thereof: Other</t>
  </si>
  <si>
    <t>CHAPTER 16 - PREPARATIONS OF MEAT, OF FISH, OF CRUSTACEANS, MOLLUSCS OR OTHER AQUATIC INVERTEBRATES, OR OF INSECTS: Other prepared or preserved meat, meat offal, blood or insects: Of swine: Shoulders and cuts thereof: Of domestic swine</t>
  </si>
  <si>
    <t>CHAPTER 16 - PREPARATIONS OF MEAT, OF FISH OR OF CRUSTACEANS, MOLLUSCS OR OTHER AQUATIC INVERTEBRATES: Other prepared or preserved meat, meat offal or blood: Of swine: Shoulders and cuts thereof: Of domestic swine</t>
  </si>
  <si>
    <t>CHAPTER 16 - PREPARATIONS OF MEAT, OF FISH, OF CRUSTACEANS, MOLLUSCS OR OTHER AQUATIC INVERTEBRATES, OR OF INSECTS: Other prepared or preserved meat, meat offal, blood or insects: Of swine: Shoulders and cuts thereof: Other</t>
  </si>
  <si>
    <t>CHAPTER 16 - PREPARATIONS OF MEAT, OF FISH OR OF CRUSTACEANS, MOLLUSCS OR OTHER AQUATIC INVERTEBRATES: Other prepared or preserved meat, meat offal or blood: Of swine: Shoulders and cuts thereof: Other</t>
  </si>
  <si>
    <t>Loins (excluding collars) and cuts thereof, including mixtures of loins or hams</t>
  </si>
  <si>
    <t>CHAPTER 16 - PREPARATIONS OF MEAT, OF FISH, OF CRUSTACEANS, MOLLUSCS OR OTHER AQUATIC INVERTEBRATES, OR OF INSECTS: Other prepared or preserved meat, meat offal, blood or insects: Of swine: Other, including mixtures: Of domestic swine: Containing by weight 80 % or more of meat or meat offal, of any kind, including fats of any kind or origin: Loins (excluding collars) and cuts thereof, including mixtures of loins or hams</t>
  </si>
  <si>
    <t>CHAPTER 16 - PREPARATIONS OF MEAT, OF FISH OR OF CRUSTACEANS, MOLLUSCS OR OTHER AQUATIC INVERTEBRATES: Other prepared or preserved meat, meat offal or blood: Of swine: Other, including mixtures: Of domestic swine: Containing by weight 80 % or more of meat or meat offal, of any kind, including fats of any kind or origin: Loins (excluding collars) and cuts thereof, including mixtures of loins or hams</t>
  </si>
  <si>
    <t>Collars and cuts thereof, including mixtures of collars and shoulders</t>
  </si>
  <si>
    <t>CHAPTER 16 - PREPARATIONS OF MEAT, OF FISH, OF CRUSTACEANS, MOLLUSCS OR OTHER AQUATIC INVERTEBRATES, OR OF INSECTS: Other prepared or preserved meat, meat offal, blood or insects: Of swine: Other, including mixtures: Of domestic swine: Containing by weight 80 % or more of meat or meat offal, of any kind, including fats of any kind or origin: Collars and cuts thereof, including mixtures of collars and shoulders</t>
  </si>
  <si>
    <t>CHAPTER 16 - PREPARATIONS OF MEAT, OF FISH OR OF CRUSTACEANS, MOLLUSCS OR OTHER AQUATIC INVERTEBRATES: Other prepared or preserved meat, meat offal or blood: Of swine: Other, including mixtures: Of domestic swine: Containing by weight 80 % or more of meat or meat offal, of any kind, including fats of any kind or origin: Collars and cuts thereof, including mixtures of collars and shoulders</t>
  </si>
  <si>
    <t>Other mixtures containing hams (legs), shoulders, loins or collars, and cuts thereof</t>
  </si>
  <si>
    <t>CHAPTER 16 - PREPARATIONS OF MEAT, OF FISH, OF CRUSTACEANS, MOLLUSCS OR OTHER AQUATIC INVERTEBRATES, OR OF INSECTS: Other prepared or preserved meat, meat offal, blood or insects: Of swine: Other, including mixtures: Of domestic swine: Containing by weight 80 % or more of meat or meat offal, of any kind, including fats of any kind or origin: Other mixtures containing hams (legs), shoulders, loins or collars, and cuts thereof</t>
  </si>
  <si>
    <t>CHAPTER 16 - PREPARATIONS OF MEAT, OF FISH OR OF CRUSTACEANS, MOLLUSCS OR OTHER AQUATIC INVERTEBRATES: Other prepared or preserved meat, meat offal or blood: Of swine: Other, including mixtures: Of domestic swine: Containing by weight 80 % or more of meat or meat offal, of any kind, including fats of any kind or origin: Other mixtures containing hams (legs), shoulders, loins or collars, and cuts thereof</t>
  </si>
  <si>
    <t>CHAPTER 16 - PREPARATIONS OF MEAT, OF FISH, OF CRUSTACEANS, MOLLUSCS OR OTHER AQUATIC INVERTEBRATES, OR OF INSECTS: Other prepared or preserved meat, meat offal, blood or insects: Of swine: Other, including mixtures: Of domestic swine: Containing by weight 80 % or more of meat or meat offal, of any kind, including fats of any kind or origin: Other</t>
  </si>
  <si>
    <t>CHAPTER 16 - PREPARATIONS OF MEAT, OF FISH OR OF CRUSTACEANS, MOLLUSCS OR OTHER AQUATIC INVERTEBRATES: Other prepared or preserved meat, meat offal or blood: Of swine: Other, including mixtures: Of domestic swine: Containing by weight 80 % or more of meat or meat offal, of any kind, including fats of any kind or origin: Other</t>
  </si>
  <si>
    <t>Containing by weight 40 % or more but less than 80 % of meat or meat offal, of any kind, including fats of any kind or origin</t>
  </si>
  <si>
    <t>CHAPTER 16 - PREPARATIONS OF MEAT, OF FISH, OF CRUSTACEANS, MOLLUSCS OR OTHER AQUATIC INVERTEBRATES, OR OF INSECTS: Other prepared or preserved meat, meat offal, blood or insects: Of swine: Other, including mixtures: Of domestic swine: Containing by weight 40 % or more but less than 80 % of meat or meat offal, of any kind, including fats of any kind or origin</t>
  </si>
  <si>
    <t>CHAPTER 16 - PREPARATIONS OF MEAT, OF FISH OR OF CRUSTACEANS, MOLLUSCS OR OTHER AQUATIC INVERTEBRATES: Other prepared or preserved meat, meat offal or blood: Of swine: Other, including mixtures: Of domestic swine: Containing by weight 40 % or more but less than 80 % of meat or meat offal, of any kind, including fats of any kind or origin</t>
  </si>
  <si>
    <t>Containing by weight less than 40 % of meat or meat offal, of any kind, including fats of any kind or origin</t>
  </si>
  <si>
    <t>CHAPTER 16 - PREPARATIONS OF MEAT, OF FISH, OF CRUSTACEANS, MOLLUSCS OR OTHER AQUATIC INVERTEBRATES, OR OF INSECTS: Other prepared or preserved meat, meat offal, blood or insects: Of swine: Other, including mixtures: Of domestic swine: Containing by weight less than 40 % of meat or meat offal, of any kind, including fats of any kind or origin</t>
  </si>
  <si>
    <t>CHAPTER 16 - PREPARATIONS OF MEAT, OF FISH OR OF CRUSTACEANS, MOLLUSCS OR OTHER AQUATIC INVERTEBRATES: Other prepared or preserved meat, meat offal or blood: Of swine: Other, including mixtures: Of domestic swine: Containing by weight less than 40 % of meat or meat offal, of any kind, including fats of any kind or origin</t>
  </si>
  <si>
    <t>CHAPTER 16 - PREPARATIONS OF MEAT, OF FISH, OF CRUSTACEANS, MOLLUSCS OR OTHER AQUATIC INVERTEBRATES, OR OF INSECTS: Other prepared or preserved meat, meat offal, blood or insects: Of swine: Other, including mixtures: Other</t>
  </si>
  <si>
    <t>CHAPTER 16 - PREPARATIONS OF MEAT, OF FISH OR OF CRUSTACEANS, MOLLUSCS OR OTHER AQUATIC INVERTEBRATES: Other prepared or preserved meat, meat offal or blood: Of swine: Other, including mixtures: Other</t>
  </si>
  <si>
    <t>Uncooked; mixtures of cooked meat or offal and uncooked meat or offal</t>
  </si>
  <si>
    <t>CHAPTER 16 - PREPARATIONS OF MEAT, OF FISH, OF CRUSTACEANS, MOLLUSCS OR OTHER AQUATIC INVERTEBRATES, OR OF INSECTS: Other prepared or preserved meat, meat offal, blood or insects: Of bovine animals: Uncooked; mixtures of cooked meat or offal and uncooked meat or offal</t>
  </si>
  <si>
    <t>CHAPTER 16 - PREPARATIONS OF MEAT, OF FISH OR OF CRUSTACEANS, MOLLUSCS OR OTHER AQUATIC INVERTEBRATES: Other prepared or preserved meat, meat offal or blood: Of bovine animals: Uncooked; mixtures of cooked meat or offal and uncooked meat or offal</t>
  </si>
  <si>
    <t>Corned beef, in airtight containers</t>
  </si>
  <si>
    <t>CHAPTER 16 - PREPARATIONS OF MEAT, OF FISH, OF CRUSTACEANS, MOLLUSCS OR OTHER AQUATIC INVERTEBRATES, OR OF INSECTS: Other prepared or preserved meat, meat offal, blood or insects: Of bovine animals: Other: Corned beef, in airtight containers</t>
  </si>
  <si>
    <t>CHAPTER 16 - PREPARATIONS OF MEAT, OF FISH OR OF CRUSTACEANS, MOLLUSCS OR OTHER AQUATIC INVERTEBRATES: Other prepared or preserved meat, meat offal or blood: Of bovine animals: Other: Corned beef, in airtight containers</t>
  </si>
  <si>
    <t>CHAPTER 16 - PREPARATIONS OF MEAT, OF FISH, OF CRUSTACEANS, MOLLUSCS OR OTHER AQUATIC INVERTEBRATES, OR OF INSECTS: Other prepared or preserved meat, meat offal, blood or insects: Of bovine animals: Other: Other</t>
  </si>
  <si>
    <t>CHAPTER 16 - PREPARATIONS OF MEAT, OF FISH OR OF CRUSTACEANS, MOLLUSCS OR OTHER AQUATIC INVERTEBRATES: Other prepared or preserved meat, meat offal or blood: Of bovine animals: Other: Other</t>
  </si>
  <si>
    <t>Preparations of blood of any animal</t>
  </si>
  <si>
    <t>CHAPTER 16 - PREPARATIONS OF MEAT, OF FISH, OF CRUSTACEANS, MOLLUSCS OR OTHER AQUATIC INVERTEBRATES, OR OF INSECTS: Other prepared or preserved meat, meat offal, blood or insects: Other, including preparations of blood of any animal: Preparations of blood of any animal</t>
  </si>
  <si>
    <t>CHAPTER 16 - PREPARATIONS OF MEAT, OF FISH OR OF CRUSTACEANS, MOLLUSCS OR OTHER AQUATIC INVERTEBRATES: Other prepared or preserved meat, meat offal or blood: Other, including preparations of blood of any animal: Preparations of blood of any animal</t>
  </si>
  <si>
    <t>Of game or rabbit</t>
  </si>
  <si>
    <t>CHAPTER 16 - PREPARATIONS OF MEAT, OF FISH, OF CRUSTACEANS, MOLLUSCS OR OTHER AQUATIC INVERTEBRATES, OR OF INSECTS: Other prepared or preserved meat, meat offal, blood or insects: Other, including preparations of blood of any animal: Other: Of game or rabbit</t>
  </si>
  <si>
    <t>CHAPTER 16 - PREPARATIONS OF MEAT, OF FISH OR OF CRUSTACEANS, MOLLUSCS OR OTHER AQUATIC INVERTEBRATES: Other prepared or preserved meat, meat offal or blood: Other, including preparations of blood of any animal: Other: Of game or rabbit</t>
  </si>
  <si>
    <t>Containing meat or meat offal of domestic swine</t>
  </si>
  <si>
    <t>CHAPTER 16 - PREPARATIONS OF MEAT, OF FISH, OF CRUSTACEANS, MOLLUSCS OR OTHER AQUATIC INVERTEBRATES, OR OF INSECTS: Other prepared or preserved meat, meat offal, blood or insects: Other, including preparations of blood of any animal: Other: Other: Containing meat or meat offal of domestic swine</t>
  </si>
  <si>
    <t>CHAPTER 16 - PREPARATIONS OF MEAT, OF FISH OR OF CRUSTACEANS, MOLLUSCS OR OTHER AQUATIC INVERTEBRATES: Other prepared or preserved meat, meat offal or blood: Other, including preparations of blood of any animal: Other: Other: Containing meat or meat offal of domestic swine</t>
  </si>
  <si>
    <t>CHAPTER 16 - PREPARATIONS OF MEAT, OF FISH, OF CRUSTACEANS, MOLLUSCS OR OTHER AQUATIC INVERTEBRATES, OR OF INSECTS: Other prepared or preserved meat, meat offal, blood or insects: Other, including preparations of blood of any animal: Other: Other: Other: Containing bovine meat or offal: Uncooked; mixtures of cooked meat or offal and uncooked meat or offal</t>
  </si>
  <si>
    <t>CHAPTER 16 - PREPARATIONS OF MEAT, OF FISH OR OF CRUSTACEANS, MOLLUSCS OR OTHER AQUATIC INVERTEBRATES: Other prepared or preserved meat, meat offal or blood: Other, including preparations of blood of any animal: Other: Other: Other: Containing bovine meat or offal: Uncooked; mixtures of cooked meat or offal and uncooked meat or offal</t>
  </si>
  <si>
    <t>CHAPTER 16 - PREPARATIONS OF MEAT, OF FISH, OF CRUSTACEANS, MOLLUSCS OR OTHER AQUATIC INVERTEBRATES, OR OF INSECTS: Other prepared or preserved meat, meat offal, blood or insects: Other, including preparations of blood of any animal: Other: Other: Other: Containing bovine meat or offal: Other</t>
  </si>
  <si>
    <t>CHAPTER 16 - PREPARATIONS OF MEAT, OF FISH OR OF CRUSTACEANS, MOLLUSCS OR OTHER AQUATIC INVERTEBRATES: Other prepared or preserved meat, meat offal or blood: Other, including preparations of blood of any animal: Other: Other: Other: Containing bovine meat or offal: Other</t>
  </si>
  <si>
    <t>Of sheep</t>
  </si>
  <si>
    <t>CHAPTER 16 - PREPARATIONS OF MEAT, OF FISH, OF CRUSTACEANS, MOLLUSCS OR OTHER AQUATIC INVERTEBRATES, OR OF INSECTS: Other prepared or preserved meat, meat offal, blood or insects: Other, including preparations of blood of any animal: Other: Other: Other: Other: Of sheep</t>
  </si>
  <si>
    <t>CHAPTER 16 - PREPARATIONS OF MEAT, OF FISH OR OF CRUSTACEANS, MOLLUSCS OR OTHER AQUATIC INVERTEBRATES: Other prepared or preserved meat, meat offal or blood: Other, including preparations of blood of any animal: Other: Other: Other: Other: Of sheep</t>
  </si>
  <si>
    <t>Of goats</t>
  </si>
  <si>
    <t>CHAPTER 16 - PREPARATIONS OF MEAT, OF FISH, OF CRUSTACEANS, MOLLUSCS OR OTHER AQUATIC INVERTEBRATES, OR OF INSECTS: Other prepared or preserved meat, meat offal, blood or insects: Other, including preparations of blood of any animal: Other: Other: Other: Other: Of goats</t>
  </si>
  <si>
    <t>CHAPTER 16 - PREPARATIONS OF MEAT, OF FISH OR OF CRUSTACEANS, MOLLUSCS OR OTHER AQUATIC INVERTEBRATES: Other prepared or preserved meat, meat offal or blood: Other, including preparations of blood of any animal: Other: Other: Other: Other: Of goats</t>
  </si>
  <si>
    <t>CHAPTER 16 - PREPARATIONS OF MEAT, OF FISH, OF CRUSTACEANS, MOLLUSCS OR OTHER AQUATIC INVERTEBRATES, OR OF INSECTS: Other prepared or preserved meat, meat offal, blood or insects: Other, including preparations of blood of any animal: Other: Other: Other: Other: Other</t>
  </si>
  <si>
    <t>CHAPTER 16 - PREPARATIONS OF MEAT, OF FISH OR OF CRUSTACEANS, MOLLUSCS OR OTHER AQUATIC INVERTEBRATES: Other prepared or preserved meat, meat offal or blood: Other, including preparations of blood of any animal: Other: Other: Other: Other: Other</t>
  </si>
  <si>
    <t>In immediate packings of a net content of 1 kg or less</t>
  </si>
  <si>
    <t>CHAPTER 16 - PREPARATIONS OF MEAT, OF FISH, OF CRUSTACEANS, MOLLUSCS OR OTHER AQUATIC INVERTEBRATES, OR OF INSECTS: Extracts and juices of meat, fish or crustaceans, molluscs or other aquatic invertebrates: In immediate packings of a net content of 1 kg or less</t>
  </si>
  <si>
    <t>CHAPTER 16 - PREPARATIONS OF MEAT, OF FISH OR OF CRUSTACEANS, MOLLUSCS OR OTHER AQUATIC INVERTEBRATES: Extracts and juices of meat, fish or crustaceans, molluscs or other aquatic invertebrates: In immediate packings of a net content of 1 kg or less</t>
  </si>
  <si>
    <t>CHAPTER 16 - PREPARATIONS OF MEAT, OF FISH, OF CRUSTACEANS, MOLLUSCS OR OTHER AQUATIC INVERTEBRATES, OR OF INSECTS: Extracts and juices of meat, fish or crustaceans, molluscs or other aquatic invertebrates: Other</t>
  </si>
  <si>
    <t>CHAPTER 16 - PREPARATIONS OF MEAT, OF FISH OR OF CRUSTACEANS, MOLLUSCS OR OTHER AQUATIC INVERTEBRATES: Extracts and juices of meat, fish or crustaceans, molluscs or other aquatic invertebrates: Other</t>
  </si>
  <si>
    <t>Salmon</t>
  </si>
  <si>
    <t>CHAPTER 16 - PREPARATIONS OF MEAT, OF FISH, OF CRUSTACEANS, MOLLUSCS OR OTHER AQUATIC INVERTEBRATES, OR OF INSECTS: Prepared or preserved fish; caviar and caviar substitutes prepared from fish eggs: Fish, whole or in pieces, but not minced: Salmon</t>
  </si>
  <si>
    <t>CHAPTER 16 - PREPARATIONS OF MEAT, OF FISH OR OF CRUSTACEANS, MOLLUSCS OR OTHER AQUATIC INVERTEBRATES: Prepared or preserved fish; caviar and caviar substitutes prepared from fish eggs: Fish, whole or in pieces, but not minced: Salmon</t>
  </si>
  <si>
    <t>Fillets, raw, merely coated with batter or breadcrumbs, whether or not pre-fried in oil, frozen</t>
  </si>
  <si>
    <t>CHAPTER 16 - PREPARATIONS OF MEAT, OF FISH, OF CRUSTACEANS, MOLLUSCS OR OTHER AQUATIC INVERTEBRATES, OR OF INSECTS: Prepared or preserved fish; caviar and caviar substitutes prepared from fish eggs: Fish, whole or in pieces, but not minced: Herring: Fillets, raw, merely coated with batter or breadcrumbs, whether or not pre-fried in oil, frozen</t>
  </si>
  <si>
    <t>CHAPTER 16 - PREPARATIONS OF MEAT, OF FISH OR OF CRUSTACEANS, MOLLUSCS OR OTHER AQUATIC INVERTEBRATES: Prepared or preserved fish; caviar and caviar substitutes prepared from fish eggs: Fish, whole or in pieces, but not minced: Herring: Fillets, raw, merely coated with batter or breadcrumbs, whether or not pre-fried in oil, frozen</t>
  </si>
  <si>
    <t>In airtight containers</t>
  </si>
  <si>
    <t>CHAPTER 16 - PREPARATIONS OF MEAT, OF FISH, OF CRUSTACEANS, MOLLUSCS OR OTHER AQUATIC INVERTEBRATES, OR OF INSECTS: Prepared or preserved fish; caviar and caviar substitutes prepared from fish eggs: Fish, whole or in pieces, but not minced: Herring: Other: In airtight containers</t>
  </si>
  <si>
    <t>CHAPTER 16 - PREPARATIONS OF MEAT, OF FISH OR OF CRUSTACEANS, MOLLUSCS OR OTHER AQUATIC INVERTEBRATES: Prepared or preserved fish; caviar and caviar substitutes prepared from fish eggs: Fish, whole or in pieces, but not minced: Herring: Other: In airtight containers</t>
  </si>
  <si>
    <t>CHAPTER 16 - PREPARATIONS OF MEAT, OF FISH, OF CRUSTACEANS, MOLLUSCS OR OTHER AQUATIC INVERTEBRATES, OR OF INSECTS: Prepared or preserved fish; caviar and caviar substitutes prepared from fish eggs: Fish, whole or in pieces, but not minced: Herring: Other: Other</t>
  </si>
  <si>
    <t>CHAPTER 16 - PREPARATIONS OF MEAT, OF FISH OR OF CRUSTACEANS, MOLLUSCS OR OTHER AQUATIC INVERTEBRATES: Prepared or preserved fish; caviar and caviar substitutes prepared from fish eggs: Fish, whole or in pieces, but not minced: Herring: Other: Other</t>
  </si>
  <si>
    <t>In olive oil</t>
  </si>
  <si>
    <t>CHAPTER 16 - PREPARATIONS OF MEAT, OF FISH, OF CRUSTACEANS, MOLLUSCS OR OTHER AQUATIC INVERTEBRATES, OR OF INSECTS: Prepared or preserved fish; caviar and caviar substitutes prepared from fish eggs: Fish, whole or in pieces, but not minced: Sardines, sardinella and brisling or sprats: Sardines: In olive oil</t>
  </si>
  <si>
    <t>CHAPTER 16 - PREPARATIONS OF MEAT, OF FISH OR OF CRUSTACEANS, MOLLUSCS OR OTHER AQUATIC INVERTEBRATES: Prepared or preserved fish; caviar and caviar substitutes prepared from fish eggs: Fish, whole or in pieces, but not minced: Sardines, sardinella and brisling or sprats: Sardines: In olive oil</t>
  </si>
  <si>
    <t>CHAPTER 16 - PREPARATIONS OF MEAT, OF FISH, OF CRUSTACEANS, MOLLUSCS OR OTHER AQUATIC INVERTEBRATES, OR OF INSECTS: Prepared or preserved fish; caviar and caviar substitutes prepared from fish eggs: Fish, whole or in pieces, but not minced: Sardines, sardinella and brisling or sprats: Sardines: Other</t>
  </si>
  <si>
    <t>CHAPTER 16 - PREPARATIONS OF MEAT, OF FISH OR OF CRUSTACEANS, MOLLUSCS OR OTHER AQUATIC INVERTEBRATES: Prepared or preserved fish; caviar and caviar substitutes prepared from fish eggs: Fish, whole or in pieces, but not minced: Sardines, sardinella and brisling or sprats: Sardines: Other</t>
  </si>
  <si>
    <t>CHAPTER 16 - PREPARATIONS OF MEAT, OF FISH, OF CRUSTACEANS, MOLLUSCS OR OTHER AQUATIC INVERTEBRATES, OR OF INSECTS: Prepared or preserved fish; caviar and caviar substitutes prepared from fish eggs: Fish, whole or in pieces, but not minced: Sardines, sardinella and brisling or sprats: Other</t>
  </si>
  <si>
    <t>CHAPTER 16 - PREPARATIONS OF MEAT, OF FISH OR OF CRUSTACEANS, MOLLUSCS OR OTHER AQUATIC INVERTEBRATES: Prepared or preserved fish; caviar and caviar substitutes prepared from fish eggs: Fish, whole or in pieces, but not minced: Sardines, sardinella and brisling or sprats: Other</t>
  </si>
  <si>
    <t>In vegetable oil</t>
  </si>
  <si>
    <t>CHAPTER 16 - PREPARATIONS OF MEAT, OF FISH, OF CRUSTACEANS, MOLLUSCS OR OTHER AQUATIC INVERTEBRATES, OR OF INSECTS: Prepared or preserved fish; caviar and caviar substitutes prepared from fish eggs: Fish, whole or in pieces, but not minced: Tunas, skipjack tuna and bonito (Sarda spp.): Tunas and skipjack tuna: Skipjack tuna: In vegetable oil</t>
  </si>
  <si>
    <t>CHAPTER 16 - PREPARATIONS OF MEAT, OF FISH OR OF CRUSTACEANS, MOLLUSCS OR OTHER AQUATIC INVERTEBRATES: Prepared or preserved fish; caviar and caviar substitutes prepared from fish eggs: Fish, whole or in pieces, but not minced: Tuna, skipjack and bonito (Sarda spp.): Tuna and skipjack: Skipjack: In vegetable oil</t>
  </si>
  <si>
    <t>Fillets known as ‘loins’</t>
  </si>
  <si>
    <t>CHAPTER 16 - PREPARATIONS OF MEAT, OF FISH, OF CRUSTACEANS, MOLLUSCS OR OTHER AQUATIC INVERTEBRATES, OR OF INSECTS: Prepared or preserved fish; caviar and caviar substitutes prepared from fish eggs: Fish, whole or in pieces, but not minced: Tunas, skipjack tuna and bonito (Sarda spp.): Tunas and skipjack tuna: Skipjack tuna: Other: Fillets known as ‘loins’</t>
  </si>
  <si>
    <t>CHAPTER 16 - PREPARATIONS OF MEAT, OF FISH OR OF CRUSTACEANS, MOLLUSCS OR OTHER AQUATIC INVERTEBRATES: Prepared or preserved fish; caviar and caviar substitutes prepared from fish eggs: Fish, whole or in pieces, but not minced: Tuna, skipjack and bonito (Sarda spp.): Tuna and skipjack: Skipjack: Other: Fillets known as ‘loins’</t>
  </si>
  <si>
    <t>CHAPTER 16 - PREPARATIONS OF MEAT, OF FISH, OF CRUSTACEANS, MOLLUSCS OR OTHER AQUATIC INVERTEBRATES, OR OF INSECTS: Prepared or preserved fish; caviar and caviar substitutes prepared from fish eggs: Fish, whole or in pieces, but not minced: Tunas, skipjack tuna and bonito (Sarda spp.): Tunas and skipjack tuna: Skipjack tuna: Other: Other</t>
  </si>
  <si>
    <t>CHAPTER 16 - PREPARATIONS OF MEAT, OF FISH OR OF CRUSTACEANS, MOLLUSCS OR OTHER AQUATIC INVERTEBRATES: Prepared or preserved fish; caviar and caviar substitutes prepared from fish eggs: Fish, whole or in pieces, but not minced: Tuna, skipjack and bonito (Sarda spp.): Tuna and skipjack: Skipjack: Other: Other</t>
  </si>
  <si>
    <t>CHAPTER 16 - PREPARATIONS OF MEAT, OF FISH, OF CRUSTACEANS, MOLLUSCS OR OTHER AQUATIC INVERTEBRATES, OR OF INSECTS: Prepared or preserved fish; caviar and caviar substitutes prepared from fish eggs: Fish, whole or in pieces, but not minced: Tunas, skipjack tuna and bonito (Sarda spp.): Tunas and skipjack tuna: Yellowfin tuna (Thunnus albacares): In vegetable oil</t>
  </si>
  <si>
    <t>CHAPTER 16 - PREPARATIONS OF MEAT, OF FISH OR OF CRUSTACEANS, MOLLUSCS OR OTHER AQUATIC INVERTEBRATES: Prepared or preserved fish; caviar and caviar substitutes prepared from fish eggs: Fish, whole or in pieces, but not minced: Tuna, skipjack and bonito (Sarda spp.): Tuna and skipjack: Yellowfin tuna (Thunnus albacares): In vegetable oil</t>
  </si>
  <si>
    <t>CHAPTER 16 - PREPARATIONS OF MEAT, OF FISH, OF CRUSTACEANS, MOLLUSCS OR OTHER AQUATIC INVERTEBRATES, OR OF INSECTS: Prepared or preserved fish; caviar and caviar substitutes prepared from fish eggs: Fish, whole or in pieces, but not minced: Tunas, skipjack tuna and bonito (Sarda spp.): Tunas and skipjack tuna: Yellowfin tuna (Thunnus albacares): Other: Fillets known as ‘loins’</t>
  </si>
  <si>
    <t>CHAPTER 16 - PREPARATIONS OF MEAT, OF FISH OR OF CRUSTACEANS, MOLLUSCS OR OTHER AQUATIC INVERTEBRATES: Prepared or preserved fish; caviar and caviar substitutes prepared from fish eggs: Fish, whole or in pieces, but not minced: Tuna, skipjack and bonito (Sarda spp.): Tuna and skipjack: Yellowfin tuna (Thunnus albacares): Other: Fillets known as ‘loins’</t>
  </si>
  <si>
    <t>CHAPTER 16 - PREPARATIONS OF MEAT, OF FISH, OF CRUSTACEANS, MOLLUSCS OR OTHER AQUATIC INVERTEBRATES, OR OF INSECTS: Prepared or preserved fish; caviar and caviar substitutes prepared from fish eggs: Fish, whole or in pieces, but not minced: Tunas, skipjack tuna and bonito (Sarda spp.): Tunas and skipjack tuna: Yellowfin tuna (Thunnus albacares): Other: Other</t>
  </si>
  <si>
    <t>CHAPTER 16 - PREPARATIONS OF MEAT, OF FISH OR OF CRUSTACEANS, MOLLUSCS OR OTHER AQUATIC INVERTEBRATES: Prepared or preserved fish; caviar and caviar substitutes prepared from fish eggs: Fish, whole or in pieces, but not minced: Tuna, skipjack and bonito (Sarda spp.): Tuna and skipjack: Yellowfin tuna (Thunnus albacares): Other: Other</t>
  </si>
  <si>
    <t>CHAPTER 16 - PREPARATIONS OF MEAT, OF FISH, OF CRUSTACEANS, MOLLUSCS OR OTHER AQUATIC INVERTEBRATES, OR OF INSECTS: Prepared or preserved fish; caviar and caviar substitutes prepared from fish eggs: Fish, whole or in pieces, but not minced: Tunas, skipjack tuna and bonito (Sarda spp.): Tunas and skipjack tuna: Other: In vegetable oil</t>
  </si>
  <si>
    <t>CHAPTER 16 - PREPARATIONS OF MEAT, OF FISH OR OF CRUSTACEANS, MOLLUSCS OR OTHER AQUATIC INVERTEBRATES: Prepared or preserved fish; caviar and caviar substitutes prepared from fish eggs: Fish, whole or in pieces, but not minced: Tuna, skipjack and bonito (Sarda spp.): Tuna and skipjack: Other: In vegetable oil</t>
  </si>
  <si>
    <t>CHAPTER 16 - PREPARATIONS OF MEAT, OF FISH, OF CRUSTACEANS, MOLLUSCS OR OTHER AQUATIC INVERTEBRATES, OR OF INSECTS: Prepared or preserved fish; caviar and caviar substitutes prepared from fish eggs: Fish, whole or in pieces, but not minced: Tunas, skipjack tuna and bonito (Sarda spp.): Tunas and skipjack tuna: Other: Other: Fillets known as ‘loins’</t>
  </si>
  <si>
    <t>CHAPTER 16 - PREPARATIONS OF MEAT, OF FISH OR OF CRUSTACEANS, MOLLUSCS OR OTHER AQUATIC INVERTEBRATES: Prepared or preserved fish; caviar and caviar substitutes prepared from fish eggs: Fish, whole or in pieces, but not minced: Tuna, skipjack and bonito (Sarda spp.): Tuna and skipjack: Other: Other: Fillets known as ‘loins’</t>
  </si>
  <si>
    <t>CHAPTER 16 - PREPARATIONS OF MEAT, OF FISH, OF CRUSTACEANS, MOLLUSCS OR OTHER AQUATIC INVERTEBRATES, OR OF INSECTS: Prepared or preserved fish; caviar and caviar substitutes prepared from fish eggs: Fish, whole or in pieces, but not minced: Tunas, skipjack tuna and bonito (Sarda spp.): Tunas and skipjack tuna: Other: Other: Other</t>
  </si>
  <si>
    <t>CHAPTER 16 - PREPARATIONS OF MEAT, OF FISH OR OF CRUSTACEANS, MOLLUSCS OR OTHER AQUATIC INVERTEBRATES: Prepared or preserved fish; caviar and caviar substitutes prepared from fish eggs: Fish, whole or in pieces, but not minced: Tuna, skipjack and bonito (Sarda spp.): Tuna and skipjack: Other: Other: Other</t>
  </si>
  <si>
    <t>Bonito (Sarda spp.)</t>
  </si>
  <si>
    <t>CHAPTER 16 - PREPARATIONS OF MEAT, OF FISH, OF CRUSTACEANS, MOLLUSCS OR OTHER AQUATIC INVERTEBRATES, OR OF INSECTS: Prepared or preserved fish; caviar and caviar substitutes prepared from fish eggs: Fish, whole or in pieces, but not minced: Tunas, skipjack tuna and bonito (Sarda spp.): Bonito (Sarda spp.)</t>
  </si>
  <si>
    <t>CHAPTER 16 - PREPARATIONS OF MEAT, OF FISH OR OF CRUSTACEANS, MOLLUSCS OR OTHER AQUATIC INVERTEBRATES: Prepared or preserved fish; caviar and caviar substitutes prepared from fish eggs: Fish, whole or in pieces, but not minced: Tuna, skipjack and bonito (Sarda spp.): Bonito (Sarda spp.)</t>
  </si>
  <si>
    <t>Fillets</t>
  </si>
  <si>
    <t>CHAPTER 16 - PREPARATIONS OF MEAT, OF FISH, OF CRUSTACEANS, MOLLUSCS OR OTHER AQUATIC INVERTEBRATES, OR OF INSECTS: Prepared or preserved fish; caviar and caviar substitutes prepared from fish eggs: Fish, whole or in pieces, but not minced: Mackerel: Of the species Scomber scombrus and Scomber japonicus: Fillets</t>
  </si>
  <si>
    <t>CHAPTER 16 - PREPARATIONS OF MEAT, OF FISH OR OF CRUSTACEANS, MOLLUSCS OR OTHER AQUATIC INVERTEBRATES: Prepared or preserved fish; caviar and caviar substitutes prepared from fish eggs: Fish, whole or in pieces, but not minced: Mackerel: Of the species Scomber scombrus and Scomber japonicus: Fillets</t>
  </si>
  <si>
    <t>CHAPTER 16 - PREPARATIONS OF MEAT, OF FISH, OF CRUSTACEANS, MOLLUSCS OR OTHER AQUATIC INVERTEBRATES, OR OF INSECTS: Prepared or preserved fish; caviar and caviar substitutes prepared from fish eggs: Fish, whole or in pieces, but not minced: Mackerel: Of the species Scomber scombrus and Scomber japonicus: Other</t>
  </si>
  <si>
    <t>CHAPTER 16 - PREPARATIONS OF MEAT, OF FISH OR OF CRUSTACEANS, MOLLUSCS OR OTHER AQUATIC INVERTEBRATES: Prepared or preserved fish; caviar and caviar substitutes prepared from fish eggs: Fish, whole or in pieces, but not minced: Mackerel: Of the species Scomber scombrus and Scomber japonicus: Other</t>
  </si>
  <si>
    <t>Of the species Scomber australasicus</t>
  </si>
  <si>
    <t>CHAPTER 16 - PREPARATIONS OF MEAT, OF FISH, OF CRUSTACEANS, MOLLUSCS OR OTHER AQUATIC INVERTEBRATES, OR OF INSECTS: Prepared or preserved fish; caviar and caviar substitutes prepared from fish eggs: Fish, whole or in pieces, but not minced: Mackerel: Of the species Scomber australasicus</t>
  </si>
  <si>
    <t>CHAPTER 16 - PREPARATIONS OF MEAT, OF FISH OR OF CRUSTACEANS, MOLLUSCS OR OTHER AQUATIC INVERTEBRATES: Prepared or preserved fish; caviar and caviar substitutes prepared from fish eggs: Fish, whole or in pieces, but not minced: Mackerel: Of the species Scomber australasicus</t>
  </si>
  <si>
    <t>Anchovies</t>
  </si>
  <si>
    <t>CHAPTER 16 - PREPARATIONS OF MEAT, OF FISH, OF CRUSTACEANS, MOLLUSCS OR OTHER AQUATIC INVERTEBRATES, OR OF INSECTS: Prepared or preserved fish; caviar and caviar substitutes prepared from fish eggs: Fish, whole or in pieces, but not minced: Anchovies</t>
  </si>
  <si>
    <t>CHAPTER 16 - PREPARATIONS OF MEAT, OF FISH OR OF CRUSTACEANS, MOLLUSCS OR OTHER AQUATIC INVERTEBRATES: Prepared or preserved fish; caviar and caviar substitutes prepared from fish eggs: Fish, whole or in pieces, but not minced: Anchovies</t>
  </si>
  <si>
    <t>Eels</t>
  </si>
  <si>
    <t>CHAPTER 16 - PREPARATIONS OF MEAT, OF FISH, OF CRUSTACEANS, MOLLUSCS OR OTHER AQUATIC INVERTEBRATES, OR OF INSECTS: Prepared or preserved fish; caviar and caviar substitutes prepared from fish eggs: Fish, whole or in pieces, but not minced: Eels</t>
  </si>
  <si>
    <t>CHAPTER 16 - PREPARATIONS OF MEAT, OF FISH OR OF CRUSTACEANS, MOLLUSCS OR OTHER AQUATIC INVERTEBRATES: Prepared or preserved fish; caviar and caviar substitutes prepared from fish eggs: Fish, whole or in pieces, but not minced: Eels</t>
  </si>
  <si>
    <t>CHAPTER 16 - PREPARATIONS OF MEAT, OF FISH, OF CRUSTACEANS, MOLLUSCS OR OTHER AQUATIC INVERTEBRATES, OR OF INSECTS: Prepared or preserved fish; caviar and caviar substitutes prepared from fish eggs: Fish, whole or in pieces, but not minced: Shark fins</t>
  </si>
  <si>
    <t>CHAPTER 16 - PREPARATIONS OF MEAT, OF FISH OR OF CRUSTACEANS, MOLLUSCS OR OTHER AQUATIC INVERTEBRATES: Prepared or preserved fish; caviar and caviar substitutes prepared from fish eggs: Fish, whole or in pieces, but not minced: Shark fins</t>
  </si>
  <si>
    <t>Salmonidae, other than salmon</t>
  </si>
  <si>
    <t>CHAPTER 16 - PREPARATIONS OF MEAT, OF FISH, OF CRUSTACEANS, MOLLUSCS OR OTHER AQUATIC INVERTEBRATES, OR OF INSECTS: Prepared or preserved fish; caviar and caviar substitutes prepared from fish eggs: Fish, whole or in pieces, but not minced: Other: Salmonidae, other than salmon</t>
  </si>
  <si>
    <t>CHAPTER 16 - PREPARATIONS OF MEAT, OF FISH OR OF CRUSTACEANS, MOLLUSCS OR OTHER AQUATIC INVERTEBRATES: Prepared or preserved fish; caviar and caviar substitutes prepared from fish eggs: Fish, whole or in pieces, but not minced: Other: Salmonidae, other than salmon</t>
  </si>
  <si>
    <t>CHAPTER 16 - PREPARATIONS OF MEAT, OF FISH, OF CRUSTACEANS, MOLLUSCS OR OTHER AQUATIC INVERTEBRATES, OR OF INSECTS: Prepared or preserved fish; caviar and caviar substitutes prepared from fish eggs: Fish, whole or in pieces, but not minced: Other: Fish of the genus Euthynnus, other than skipjack tuna (Katsuwonus pelamis): Fillets known as ‘loins’</t>
  </si>
  <si>
    <t>CHAPTER 16 - PREPARATIONS OF MEAT, OF FISH OR OF CRUSTACEANS, MOLLUSCS OR OTHER AQUATIC INVERTEBRATES: Prepared or preserved fish; caviar and caviar substitutes prepared from fish eggs: Fish, whole or in pieces, but not minced: Other: Fish of the genus Euthynnus, other than skipjack (Euthynnus (Katsuwonus) pelamis): Fillets known as ‘loins’</t>
  </si>
  <si>
    <t>CHAPTER 16 - PREPARATIONS OF MEAT, OF FISH, OF CRUSTACEANS, MOLLUSCS OR OTHER AQUATIC INVERTEBRATES, OR OF INSECTS: Prepared or preserved fish; caviar and caviar substitutes prepared from fish eggs: Fish, whole or in pieces, but not minced: Other: Fish of the genus Euthynnus, other than skipjack tuna (Katsuwonus pelamis): Other</t>
  </si>
  <si>
    <t>CHAPTER 16 - PREPARATIONS OF MEAT, OF FISH OR OF CRUSTACEANS, MOLLUSCS OR OTHER AQUATIC INVERTEBRATES: Prepared or preserved fish; caviar and caviar substitutes prepared from fish eggs: Fish, whole or in pieces, but not minced: Other: Fish of the genus Euthynnus, other than skipjack (Euthynnus (Katsuwonus) pelamis): Other</t>
  </si>
  <si>
    <t>Fish of the species Orcynopsis unicolor</t>
  </si>
  <si>
    <t>CHAPTER 16 - PREPARATIONS OF MEAT, OF FISH, OF CRUSTACEANS, MOLLUSCS OR OTHER AQUATIC INVERTEBRATES, OR OF INSECTS: Prepared or preserved fish; caviar and caviar substitutes prepared from fish eggs: Fish, whole or in pieces, but not minced: Other: Fish of the species Orcynopsis unicolor</t>
  </si>
  <si>
    <t>CHAPTER 16 - PREPARATIONS OF MEAT, OF FISH OR OF CRUSTACEANS, MOLLUSCS OR OTHER AQUATIC INVERTEBRATES: Prepared or preserved fish; caviar and caviar substitutes prepared from fish eggs: Fish, whole or in pieces, but not minced: Other: Fish of the species Orcynopsis unicolor</t>
  </si>
  <si>
    <t>CHAPTER 16 - PREPARATIONS OF MEAT, OF FISH, OF CRUSTACEANS, MOLLUSCS OR OTHER AQUATIC INVERTEBRATES, OR OF INSECTS: Prepared or preserved fish; caviar and caviar substitutes prepared from fish eggs: Fish, whole or in pieces, but not minced: Other: Other: Fillets, raw, merely coated with batter or breadcrumbs, whether or not pre-fried in oil, frozen</t>
  </si>
  <si>
    <t>CHAPTER 16 - PREPARATIONS OF MEAT, OF FISH OR OF CRUSTACEANS, MOLLUSCS OR OTHER AQUATIC INVERTEBRATES: Prepared or preserved fish; caviar and caviar substitutes prepared from fish eggs: Fish, whole or in pieces, but not minced: Other: Other: Fillets, raw, merely coated with batter or breadcrumbs, whether or not pre-fried in oil, frozen</t>
  </si>
  <si>
    <t>CHAPTER 16 - PREPARATIONS OF MEAT, OF FISH, OF CRUSTACEANS, MOLLUSCS OR OTHER AQUATIC INVERTEBRATES, OR OF INSECTS: Prepared or preserved fish; caviar and caviar substitutes prepared from fish eggs: Fish, whole or in pieces, but not minced: Other: Other: Other: Cod (Gadus morhua, Gadus ogac, Gadus macrocephalus)</t>
  </si>
  <si>
    <t>CHAPTER 16 - PREPARATIONS OF MEAT, OF FISH OR OF CRUSTACEANS, MOLLUSCS OR OTHER AQUATIC INVERTEBRATES: Prepared or preserved fish; caviar and caviar substitutes prepared from fish eggs: Fish, whole or in pieces, but not minced: Other: Other: Other: Cod (Gadus morhua, Gadus ogac, Gadus macrocephalus)</t>
  </si>
  <si>
    <t>Coalfish (Pollachius virens)</t>
  </si>
  <si>
    <t>CHAPTER 16 - PREPARATIONS OF MEAT, OF FISH, OF CRUSTACEANS, MOLLUSCS OR OTHER AQUATIC INVERTEBRATES, OR OF INSECTS: Prepared or preserved fish; caviar and caviar substitutes prepared from fish eggs: Fish, whole or in pieces, but not minced: Other: Other: Other: Coalfish (Pollachius virens)</t>
  </si>
  <si>
    <t>CHAPTER 16 - PREPARATIONS OF MEAT, OF FISH OR OF CRUSTACEANS, MOLLUSCS OR OTHER AQUATIC INVERTEBRATES: Prepared or preserved fish; caviar and caviar substitutes prepared from fish eggs: Fish, whole or in pieces, but not minced: Other: Other: Other: Coalfish (Pollachius virens)</t>
  </si>
  <si>
    <t>Hake (Merluccius spp., Urophycis spp.)</t>
  </si>
  <si>
    <t>CHAPTER 16 - PREPARATIONS OF MEAT, OF FISH, OF CRUSTACEANS, MOLLUSCS OR OTHER AQUATIC INVERTEBRATES, OR OF INSECTS: Prepared or preserved fish; caviar and caviar substitutes prepared from fish eggs: Fish, whole or in pieces, but not minced: Other: Other: Other: Hake (Merluccius spp., Urophycis spp.)</t>
  </si>
  <si>
    <t>CHAPTER 16 - PREPARATIONS OF MEAT, OF FISH OR OF CRUSTACEANS, MOLLUSCS OR OTHER AQUATIC INVERTEBRATES: Prepared or preserved fish; caviar and caviar substitutes prepared from fish eggs: Fish, whole or in pieces, but not minced: Other: Other: Other: Hake (Merluccius spp., Urophycis spp.)</t>
  </si>
  <si>
    <t>Alaska pollock (Theragra chalcogramma) and pollack (Pollachius pollachius)</t>
  </si>
  <si>
    <t>CHAPTER 16 - PREPARATIONS OF MEAT, OF FISH, OF CRUSTACEANS, MOLLUSCS OR OTHER AQUATIC INVERTEBRATES, OR OF INSECTS: Prepared or preserved fish; caviar and caviar substitutes prepared from fish eggs: Fish, whole or in pieces, but not minced: Other: Other: Other: Alaska pollock (Theragra chalcogramma) and pollack (Pollachius pollachius)</t>
  </si>
  <si>
    <t>CHAPTER 16 - PREPARATIONS OF MEAT, OF FISH OR OF CRUSTACEANS, MOLLUSCS OR OTHER AQUATIC INVERTEBRATES: Prepared or preserved fish; caviar and caviar substitutes prepared from fish eggs: Fish, whole or in pieces, but not minced: Other: Other: Other: Alaska pollock (Theragra chalcogramma) and pollack (Pollachius pollachius)</t>
  </si>
  <si>
    <t>CHAPTER 16 - PREPARATIONS OF MEAT, OF FISH, OF CRUSTACEANS, MOLLUSCS OR OTHER AQUATIC INVERTEBRATES, OR OF INSECTS: Prepared or preserved fish; caviar and caviar substitutes prepared from fish eggs: Fish, whole or in pieces, but not minced: Other: Other: Other: Other</t>
  </si>
  <si>
    <t>CHAPTER 16 - PREPARATIONS OF MEAT, OF FISH OR OF CRUSTACEANS, MOLLUSCS OR OTHER AQUATIC INVERTEBRATES: Prepared or preserved fish; caviar and caviar substitutes prepared from fish eggs: Fish, whole or in pieces, but not minced: Other: Other: Other: Other</t>
  </si>
  <si>
    <t>Preparations of surimi</t>
  </si>
  <si>
    <t>CHAPTER 16 - PREPARATIONS OF MEAT, OF FISH, OF CRUSTACEANS, MOLLUSCS OR OTHER AQUATIC INVERTEBRATES, OR OF INSECTS: Prepared or preserved fish; caviar and caviar substitutes prepared from fish eggs: Other prepared or preserved fish: Preparations of surimi</t>
  </si>
  <si>
    <t>CHAPTER 16 - PREPARATIONS OF MEAT, OF FISH OR OF CRUSTACEANS, MOLLUSCS OR OTHER AQUATIC INVERTEBRATES: Prepared or preserved fish; caviar and caviar substitutes prepared from fish eggs: Other prepared or preserved fish: Preparations of surimi</t>
  </si>
  <si>
    <t>Of salmon</t>
  </si>
  <si>
    <t>CHAPTER 16 - PREPARATIONS OF MEAT, OF FISH, OF CRUSTACEANS, MOLLUSCS OR OTHER AQUATIC INVERTEBRATES, OR OF INSECTS: Prepared or preserved fish; caviar and caviar substitutes prepared from fish eggs: Other prepared or preserved fish: Other: Of salmon</t>
  </si>
  <si>
    <t>CHAPTER 16 - PREPARATIONS OF MEAT, OF FISH OR OF CRUSTACEANS, MOLLUSCS OR OTHER AQUATIC INVERTEBRATES: Prepared or preserved fish; caviar and caviar substitutes prepared from fish eggs: Other prepared or preserved fish: Other: Of salmon</t>
  </si>
  <si>
    <t>Of Salmonidae, other than salmon</t>
  </si>
  <si>
    <t>CHAPTER 16 - PREPARATIONS OF MEAT, OF FISH, OF CRUSTACEANS, MOLLUSCS OR OTHER AQUATIC INVERTEBRATES, OR OF INSECTS: Prepared or preserved fish; caviar and caviar substitutes prepared from fish eggs: Other prepared or preserved fish: Other: Of Salmonidae, other than salmon</t>
  </si>
  <si>
    <t>CHAPTER 16 - PREPARATIONS OF MEAT, OF FISH OR OF CRUSTACEANS, MOLLUSCS OR OTHER AQUATIC INVERTEBRATES: Prepared or preserved fish; caviar and caviar substitutes prepared from fish eggs: Other prepared or preserved fish: Other: Of Salmonidae, other than salmon</t>
  </si>
  <si>
    <t>Of anchovies</t>
  </si>
  <si>
    <t>CHAPTER 16 - PREPARATIONS OF MEAT, OF FISH, OF CRUSTACEANS, MOLLUSCS OR OTHER AQUATIC INVERTEBRATES, OR OF INSECTS: Prepared or preserved fish; caviar and caviar substitutes prepared from fish eggs: Other prepared or preserved fish: Other: Of anchovies</t>
  </si>
  <si>
    <t>CHAPTER 16 - PREPARATIONS OF MEAT, OF FISH OR OF CRUSTACEANS, MOLLUSCS OR OTHER AQUATIC INVERTEBRATES: Prepared or preserved fish; caviar and caviar substitutes prepared from fish eggs: Other prepared or preserved fish: Other: Of anchovies</t>
  </si>
  <si>
    <t>Of sardines, bonito, mackerel of the species Scomber scombrus and Scomber japonicus, fish of the species Orcynopsis unicolor</t>
  </si>
  <si>
    <t>CHAPTER 16 - PREPARATIONS OF MEAT, OF FISH, OF CRUSTACEANS, MOLLUSCS OR OTHER AQUATIC INVERTEBRATES, OR OF INSECTS: Prepared or preserved fish; caviar and caviar substitutes prepared from fish eggs: Other prepared or preserved fish: Other: Of sardines, bonito, mackerel of the species Scomber scombrus and Scomber japonicus, fish of the species Orcynopsis unicolor</t>
  </si>
  <si>
    <t>CHAPTER 16 - PREPARATIONS OF MEAT, OF FISH OR OF CRUSTACEANS, MOLLUSCS OR OTHER AQUATIC INVERTEBRATES: Prepared or preserved fish; caviar and caviar substitutes prepared from fish eggs: Other prepared or preserved fish: Other: Of sardines, bonito, mackerel of the species Scomber scombrus and Scomber japonicus, fish of the species Orcynopsis unicolor</t>
  </si>
  <si>
    <t>Of tuna, skipjack tuna or other fish of the genus Euthynnus</t>
  </si>
  <si>
    <t>Of tuna, skipjack or other fish of the genus Euthynnus</t>
  </si>
  <si>
    <t>CHAPTER 16 - PREPARATIONS OF MEAT, OF FISH, OF CRUSTACEANS, MOLLUSCS OR OTHER AQUATIC INVERTEBRATES, OR OF INSECTS: Prepared or preserved fish; caviar and caviar substitutes prepared from fish eggs: Other prepared or preserved fish: Other: Of tuna, skipjack tuna or other fish of the genus Euthynnus</t>
  </si>
  <si>
    <t>CHAPTER 16 - PREPARATIONS OF MEAT, OF FISH OR OF CRUSTACEANS, MOLLUSCS OR OTHER AQUATIC INVERTEBRATES: Prepared or preserved fish; caviar and caviar substitutes prepared from fish eggs: Other prepared or preserved fish: Other: Of tuna, skipjack or other fish of the genus Euthynnus</t>
  </si>
  <si>
    <t>Of other fish</t>
  </si>
  <si>
    <t>CHAPTER 16 - PREPARATIONS OF MEAT, OF FISH, OF CRUSTACEANS, MOLLUSCS OR OTHER AQUATIC INVERTEBRATES, OR OF INSECTS: Prepared or preserved fish; caviar and caviar substitutes prepared from fish eggs: Other prepared or preserved fish: Other: Of other fish</t>
  </si>
  <si>
    <t>CHAPTER 16 - PREPARATIONS OF MEAT, OF FISH OR OF CRUSTACEANS, MOLLUSCS OR OTHER AQUATIC INVERTEBRATES: Prepared or preserved fish; caviar and caviar substitutes prepared from fish eggs: Other prepared or preserved fish: Other: Of other fish</t>
  </si>
  <si>
    <t>Caviar</t>
  </si>
  <si>
    <t>CHAPTER 16 - PREPARATIONS OF MEAT, OF FISH, OF CRUSTACEANS, MOLLUSCS OR OTHER AQUATIC INVERTEBRATES, OR OF INSECTS: Prepared or preserved fish; caviar and caviar substitutes prepared from fish eggs: Caviar and caviar substitutes: Caviar</t>
  </si>
  <si>
    <t>CHAPTER 16 - PREPARATIONS OF MEAT, OF FISH OR OF CRUSTACEANS, MOLLUSCS OR OTHER AQUATIC INVERTEBRATES: Prepared or preserved fish; caviar and caviar substitutes prepared from fish eggs: Caviar and caviar substitutes: Caviar</t>
  </si>
  <si>
    <t>Caviar substitutes</t>
  </si>
  <si>
    <t>CHAPTER 16 - PREPARATIONS OF MEAT, OF FISH, OF CRUSTACEANS, MOLLUSCS OR OTHER AQUATIC INVERTEBRATES, OR OF INSECTS: Prepared or preserved fish; caviar and caviar substitutes prepared from fish eggs: Caviar and caviar substitutes: Caviar substitutes</t>
  </si>
  <si>
    <t>CHAPTER 16 - PREPARATIONS OF MEAT, OF FISH OR OF CRUSTACEANS, MOLLUSCS OR OTHER AQUATIC INVERTEBRATES: Prepared or preserved fish; caviar and caviar substitutes prepared from fish eggs: Caviar and caviar substitutes: Caviar substitutes</t>
  </si>
  <si>
    <t>Crab</t>
  </si>
  <si>
    <t>CHAPTER 16 - PREPARATIONS OF MEAT, OF FISH, OF CRUSTACEANS, MOLLUSCS OR OTHER AQUATIC INVERTEBRATES, OR OF INSECTS: Crustaceans, molluscs and other aquatic invertebrates, prepared or preserved: Crab</t>
  </si>
  <si>
    <t>CHAPTER 16 - PREPARATIONS OF MEAT, OF FISH OR OF CRUSTACEANS, MOLLUSCS OR OTHER AQUATIC INVERTEBRATES: Crustaceans, molluscs and other aquatic invertebrates, prepared or preserved: Crab</t>
  </si>
  <si>
    <t>In immediate packings of a net content not exceeding 2 kg</t>
  </si>
  <si>
    <t>CHAPTER 16 - PREPARATIONS OF MEAT, OF FISH, OF CRUSTACEANS, MOLLUSCS OR OTHER AQUATIC INVERTEBRATES, OR OF INSECTS: Crustaceans, molluscs and other aquatic invertebrates, prepared or preserved: Shrimps and prawns: Not in airtight containers: In immediate packings of a net content not exceeding 2 kg</t>
  </si>
  <si>
    <t>CHAPTER 16 - PREPARATIONS OF MEAT, OF FISH OR OF CRUSTACEANS, MOLLUSCS OR OTHER AQUATIC INVERTEBRATES: Crustaceans, molluscs and other aquatic invertebrates, prepared or preserved: Shrimps and prawns: Not in airtight containers: In immediate packings of a net content not exceeding 2 kg</t>
  </si>
  <si>
    <t>CHAPTER 16 - PREPARATIONS OF MEAT, OF FISH, OF CRUSTACEANS, MOLLUSCS OR OTHER AQUATIC INVERTEBRATES, OR OF INSECTS: Crustaceans, molluscs and other aquatic invertebrates, prepared or preserved: Shrimps and prawns: Not in airtight containers: Other</t>
  </si>
  <si>
    <t>CHAPTER 16 - PREPARATIONS OF MEAT, OF FISH OR OF CRUSTACEANS, MOLLUSCS OR OTHER AQUATIC INVERTEBRATES: Crustaceans, molluscs and other aquatic invertebrates, prepared or preserved: Shrimps and prawns: Not in airtight containers: Other</t>
  </si>
  <si>
    <t>CHAPTER 16 - PREPARATIONS OF MEAT, OF FISH, OF CRUSTACEANS, MOLLUSCS OR OTHER AQUATIC INVERTEBRATES, OR OF INSECTS: Crustaceans, molluscs and other aquatic invertebrates, prepared or preserved: Shrimps and prawns: Other</t>
  </si>
  <si>
    <t>CHAPTER 16 - PREPARATIONS OF MEAT, OF FISH OR OF CRUSTACEANS, MOLLUSCS OR OTHER AQUATIC INVERTEBRATES: Crustaceans, molluscs and other aquatic invertebrates, prepared or preserved: Shrimps and prawns: Other</t>
  </si>
  <si>
    <t>Lobster meat, cooked, for the manufacture of lobster butter or of lobster pastes, pâtés, soups or sauces</t>
  </si>
  <si>
    <t>CHAPTER 16 - PREPARATIONS OF MEAT, OF FISH, OF CRUSTACEANS, MOLLUSCS OR OTHER AQUATIC INVERTEBRATES, OR OF INSECTS: Crustaceans, molluscs and other aquatic invertebrates, prepared or preserved: Lobster: Lobster meat, cooked, for the manufacture of lobster butter or of lobster pastes, pâtés, soups or sauces</t>
  </si>
  <si>
    <t>CHAPTER 16 - PREPARATIONS OF MEAT, OF FISH OR OF CRUSTACEANS, MOLLUSCS OR OTHER AQUATIC INVERTEBRATES: Crustaceans, molluscs and other aquatic invertebrates, prepared or preserved: Lobster: Lobster meat, cooked, for the manufacture of lobster butter or of lobster pastes, pâtés, soups or sauces</t>
  </si>
  <si>
    <t>CHAPTER 16 - PREPARATIONS OF MEAT, OF FISH, OF CRUSTACEANS, MOLLUSCS OR OTHER AQUATIC INVERTEBRATES, OR OF INSECTS: Crustaceans, molluscs and other aquatic invertebrates, prepared or preserved: Lobster: Other</t>
  </si>
  <si>
    <t>CHAPTER 16 - PREPARATIONS OF MEAT, OF FISH OR OF CRUSTACEANS, MOLLUSCS OR OTHER AQUATIC INVERTEBRATES: Crustaceans, molluscs and other aquatic invertebrates, prepared or preserved: Lobster: Other</t>
  </si>
  <si>
    <t>Other crustaceans</t>
  </si>
  <si>
    <t>CHAPTER 16 - PREPARATIONS OF MEAT, OF FISH, OF CRUSTACEANS, MOLLUSCS OR OTHER AQUATIC INVERTEBRATES, OR OF INSECTS: Crustaceans, molluscs and other aquatic invertebrates, prepared or preserved: Other crustaceans</t>
  </si>
  <si>
    <t>CHAPTER 16 - PREPARATIONS OF MEAT, OF FISH OR OF CRUSTACEANS, MOLLUSCS OR OTHER AQUATIC INVERTEBRATES: Crustaceans, molluscs and other aquatic invertebrates, prepared or preserved: Other crustaceans</t>
  </si>
  <si>
    <t>Oysters</t>
  </si>
  <si>
    <t>CHAPTER 16 - PREPARATIONS OF MEAT, OF FISH, OF CRUSTACEANS, MOLLUSCS OR OTHER AQUATIC INVERTEBRATES, OR OF INSECTS: Crustaceans, molluscs and other aquatic invertebrates, prepared or preserved: Molluscs: Oysters</t>
  </si>
  <si>
    <t>CHAPTER 16 - PREPARATIONS OF MEAT, OF FISH OR OF CRUSTACEANS, MOLLUSCS OR OTHER AQUATIC INVERTEBRATES: Crustaceans, molluscs and other aquatic invertebrates, prepared or preserved: Molluscs: Oysters</t>
  </si>
  <si>
    <t>Scallops, including queen scallops</t>
  </si>
  <si>
    <t>CHAPTER 16 - PREPARATIONS OF MEAT, OF FISH, OF CRUSTACEANS, MOLLUSCS OR OTHER AQUATIC INVERTEBRATES, OR OF INSECTS: Crustaceans, molluscs and other aquatic invertebrates, prepared or preserved: Molluscs: Scallops, including queen scallops</t>
  </si>
  <si>
    <t>CHAPTER 16 - PREPARATIONS OF MEAT, OF FISH OR OF CRUSTACEANS, MOLLUSCS OR OTHER AQUATIC INVERTEBRATES: Crustaceans, molluscs and other aquatic invertebrates, prepared or preserved: Molluscs: Scallops, including queen scallops</t>
  </si>
  <si>
    <t>CHAPTER 16 - PREPARATIONS OF MEAT, OF FISH, OF CRUSTACEANS, MOLLUSCS OR OTHER AQUATIC INVERTEBRATES, OR OF INSECTS: Crustaceans, molluscs and other aquatic invertebrates, prepared or preserved: Molluscs: Mussels: In airtight containers</t>
  </si>
  <si>
    <t>CHAPTER 16 - PREPARATIONS OF MEAT, OF FISH OR OF CRUSTACEANS, MOLLUSCS OR OTHER AQUATIC INVERTEBRATES: Crustaceans, molluscs and other aquatic invertebrates, prepared or preserved: Molluscs: Mussels: In airtight containers</t>
  </si>
  <si>
    <t>CHAPTER 16 - PREPARATIONS OF MEAT, OF FISH, OF CRUSTACEANS, MOLLUSCS OR OTHER AQUATIC INVERTEBRATES, OR OF INSECTS: Crustaceans, molluscs and other aquatic invertebrates, prepared or preserved: Molluscs: Mussels: Other</t>
  </si>
  <si>
    <t>CHAPTER 16 - PREPARATIONS OF MEAT, OF FISH OR OF CRUSTACEANS, MOLLUSCS OR OTHER AQUATIC INVERTEBRATES: Crustaceans, molluscs and other aquatic invertebrates, prepared or preserved: Molluscs: Mussels: Other</t>
  </si>
  <si>
    <t>Cuttlefish and squid</t>
  </si>
  <si>
    <t>CHAPTER 16 - PREPARATIONS OF MEAT, OF FISH, OF CRUSTACEANS, MOLLUSCS OR OTHER AQUATIC INVERTEBRATES, OR OF INSECTS: Crustaceans, molluscs and other aquatic invertebrates, prepared or preserved: Molluscs: Cuttlefish and squid</t>
  </si>
  <si>
    <t>CHAPTER 16 - PREPARATIONS OF MEAT, OF FISH OR OF CRUSTACEANS, MOLLUSCS OR OTHER AQUATIC INVERTEBRATES: Crustaceans, molluscs and other aquatic invertebrates, prepared or preserved: Molluscs: Cuttlefish and squid</t>
  </si>
  <si>
    <t>Octopus</t>
  </si>
  <si>
    <t>CHAPTER 16 - PREPARATIONS OF MEAT, OF FISH, OF CRUSTACEANS, MOLLUSCS OR OTHER AQUATIC INVERTEBRATES, OR OF INSECTS: Crustaceans, molluscs and other aquatic invertebrates, prepared or preserved: Molluscs: Octopus</t>
  </si>
  <si>
    <t>CHAPTER 16 - PREPARATIONS OF MEAT, OF FISH OR OF CRUSTACEANS, MOLLUSCS OR OTHER AQUATIC INVERTEBRATES: Crustaceans, molluscs and other aquatic invertebrates, prepared or preserved: Molluscs: Octopus</t>
  </si>
  <si>
    <t>Clams, cockles and arkshells</t>
  </si>
  <si>
    <t>CHAPTER 16 - PREPARATIONS OF MEAT, OF FISH, OF CRUSTACEANS, MOLLUSCS OR OTHER AQUATIC INVERTEBRATES, OR OF INSECTS: Crustaceans, molluscs and other aquatic invertebrates, prepared or preserved: Molluscs: Clams, cockles and arkshells</t>
  </si>
  <si>
    <t>CHAPTER 16 - PREPARATIONS OF MEAT, OF FISH OR OF CRUSTACEANS, MOLLUSCS OR OTHER AQUATIC INVERTEBRATES: Crustaceans, molluscs and other aquatic invertebrates, prepared or preserved: Molluscs: Clams, cockles and arkshells</t>
  </si>
  <si>
    <t>Abalone</t>
  </si>
  <si>
    <t>CHAPTER 16 - PREPARATIONS OF MEAT, OF FISH, OF CRUSTACEANS, MOLLUSCS OR OTHER AQUATIC INVERTEBRATES, OR OF INSECTS: Crustaceans, molluscs and other aquatic invertebrates, prepared or preserved: Molluscs: Abalone</t>
  </si>
  <si>
    <t>CHAPTER 16 - PREPARATIONS OF MEAT, OF FISH OR OF CRUSTACEANS, MOLLUSCS OR OTHER AQUATIC INVERTEBRATES: Crustaceans, molluscs and other aquatic invertebrates, prepared or preserved: Molluscs: Abalone</t>
  </si>
  <si>
    <t>CHAPTER 16 - PREPARATIONS OF MEAT, OF FISH, OF CRUSTACEANS, MOLLUSCS OR OTHER AQUATIC INVERTEBRATES, OR OF INSECTS: Crustaceans, molluscs and other aquatic invertebrates, prepared or preserved: Molluscs: Snails, other than sea snails</t>
  </si>
  <si>
    <t>CHAPTER 16 - PREPARATIONS OF MEAT, OF FISH OR OF CRUSTACEANS, MOLLUSCS OR OTHER AQUATIC INVERTEBRATES: Crustaceans, molluscs and other aquatic invertebrates, prepared or preserved: Molluscs: Snails, other than sea snails</t>
  </si>
  <si>
    <t>CHAPTER 16 - PREPARATIONS OF MEAT, OF FISH, OF CRUSTACEANS, MOLLUSCS OR OTHER AQUATIC INVERTEBRATES, OR OF INSECTS: Crustaceans, molluscs and other aquatic invertebrates, prepared or preserved: Molluscs: Other</t>
  </si>
  <si>
    <t>CHAPTER 16 - PREPARATIONS OF MEAT, OF FISH OR OF CRUSTACEANS, MOLLUSCS OR OTHER AQUATIC INVERTEBRATES: Crustaceans, molluscs and other aquatic invertebrates, prepared or preserved: Molluscs: Other</t>
  </si>
  <si>
    <t>Sea cucumbers</t>
  </si>
  <si>
    <t>CHAPTER 16 - PREPARATIONS OF MEAT, OF FISH, OF CRUSTACEANS, MOLLUSCS OR OTHER AQUATIC INVERTEBRATES, OR OF INSECTS: Crustaceans, molluscs and other aquatic invertebrates, prepared or preserved: Other aquatic invertebrates: Sea cucumbers</t>
  </si>
  <si>
    <t>CHAPTER 16 - PREPARATIONS OF MEAT, OF FISH OR OF CRUSTACEANS, MOLLUSCS OR OTHER AQUATIC INVERTEBRATES: Crustaceans, molluscs and other aquatic invertebrates, prepared or preserved: Other aquatic invertebrates: Sea cucumbers</t>
  </si>
  <si>
    <t>Sea urchins</t>
  </si>
  <si>
    <t>CHAPTER 16 - PREPARATIONS OF MEAT, OF FISH, OF CRUSTACEANS, MOLLUSCS OR OTHER AQUATIC INVERTEBRATES, OR OF INSECTS: Crustaceans, molluscs and other aquatic invertebrates, prepared or preserved: Other aquatic invertebrates: Sea urchins</t>
  </si>
  <si>
    <t>CHAPTER 16 - PREPARATIONS OF MEAT, OF FISH OR OF CRUSTACEANS, MOLLUSCS OR OTHER AQUATIC INVERTEBRATES: Crustaceans, molluscs and other aquatic invertebrates, prepared or preserved: Other aquatic invertebrates: Sea urchins</t>
  </si>
  <si>
    <t>Jellyfish</t>
  </si>
  <si>
    <t>CHAPTER 16 - PREPARATIONS OF MEAT, OF FISH, OF CRUSTACEANS, MOLLUSCS OR OTHER AQUATIC INVERTEBRATES, OR OF INSECTS: Crustaceans, molluscs and other aquatic invertebrates, prepared or preserved: Other aquatic invertebrates: Jellyfish</t>
  </si>
  <si>
    <t>CHAPTER 16 - PREPARATIONS OF MEAT, OF FISH OR OF CRUSTACEANS, MOLLUSCS OR OTHER AQUATIC INVERTEBRATES: Crustaceans, molluscs and other aquatic invertebrates, prepared or preserved: Other aquatic invertebrates: Jellyfish</t>
  </si>
  <si>
    <t>CHAPTER 16 - PREPARATIONS OF MEAT, OF FISH, OF CRUSTACEANS, MOLLUSCS OR OTHER AQUATIC INVERTEBRATES, OR OF INSECTS: Crustaceans, molluscs and other aquatic invertebrates, prepared or preserved: Other aquatic invertebrates: Other</t>
  </si>
  <si>
    <t>CHAPTER 16 - PREPARATIONS OF MEAT, OF FISH OR OF CRUSTACEANS, MOLLUSCS OR OTHER AQUATIC INVERTEBRATES: Crustaceans, molluscs and other aquatic invertebrates, prepared or preserved: Other aquatic invertebrates: Other</t>
  </si>
  <si>
    <t>Of an actual alcoholic strength by mass not exceeding 11,85 % mas</t>
  </si>
  <si>
    <t>CHAPTER 20 - PREPARATIONS OF VEGETABLES, FRUIT, NUTS OR OTHER PARTS OF PLANTS: Fruit, nuts and other edible parts of plants, otherwise prepared or preserved, whether or not containing added sugar or other sweetening matter or spirit, not elsewhere specified or included: Other, including mixtures other than those of subheading 200819: Cranberries (Vaccinium macrocarpon,  Vaccinium oxycoccos); lingonberries (Vaccinium vitis-idaea): Containing added spirit: With a sugar content exceeding 9 % by weight: Of an actual alcoholic strength by mass not exceeding 11,85 % mas</t>
  </si>
  <si>
    <t>CHAPTER 20 - PREPARATIONS OF VEGETABLES, FRUIT, NUTS OR OTHER PARTS OF PLANTS: Fruit, nuts and other edible parts of plants, otherwise prepared or preserved, whether or not containing added sugar or other sweetening matter or spirit, not elsewhere specified or included: Other, including mixtures other than those of subheading 200819: Cranberries (Vaccinium macrocarpon,  Vaccinium oxycoccos, Vaccinium vitis-idaea): Containing added spirit: With a sugar content exceeding 9 % by weight: Of an actual alcoholic strength by mass not exceeding 11,85 % mas</t>
  </si>
  <si>
    <t>CHAPTER 20 - PREPARATIONS OF VEGETABLES, FRUIT, NUTS OR OTHER PARTS OF PLANTS: Fruit, nuts and other edible parts of plants, otherwise prepared or preserved, whether or not containing added sugar or other sweetening matter or spirit, not elsewhere specified or included: Other, including mixtures other than those of subheading 200819: Cranberries (Vaccinium macrocarpon,  Vaccinium oxycoccos); lingonberries (Vaccinium vitis-idaea): Containing added spirit: With a sugar content exceeding 9 % by weight: Other</t>
  </si>
  <si>
    <t>CHAPTER 20 - PREPARATIONS OF VEGETABLES, FRUIT, NUTS OR OTHER PARTS OF PLANTS: Fruit, nuts and other edible parts of plants, otherwise prepared or preserved, whether or not containing added sugar or other sweetening matter or spirit, not elsewhere specified or included: Other, including mixtures other than those of subheading 200819: Cranberries (Vaccinium macrocarpon,  Vaccinium oxycoccos, Vaccinium vitis-idaea): Containing added spirit: With a sugar content exceeding 9 % by weight: Other</t>
  </si>
  <si>
    <t>CHAPTER 20 - PREPARATIONS OF VEGETABLES, FRUIT, NUTS OR OTHER PARTS OF PLANTS: Fruit, nuts and other edible parts of plants, otherwise prepared or preserved, whether or not containing added sugar or other sweetening matter or spirit, not elsewhere specified or included: Other, including mixtures other than those of subheading 200819: Cranberries (Vaccinium macrocarpon,  Vaccinium oxycoccos); lingonberries (Vaccinium vitis-idaea): Containing added spirit: Other: Of an actual alcoholic strength by mass not exceeding 11,85 % mas</t>
  </si>
  <si>
    <t>CHAPTER 20 - PREPARATIONS OF VEGETABLES, FRUIT, NUTS OR OTHER PARTS OF PLANTS: Fruit, nuts and other edible parts of plants, otherwise prepared or preserved, whether or not containing added sugar or other sweetening matter or spirit, not elsewhere specified or included: Other, including mixtures other than those of subheading 200819: Cranberries (Vaccinium macrocarpon,  Vaccinium oxycoccos, Vaccinium vitis-idaea): Containing added spirit: Other: Of an actual alcoholic strength by mass not exceeding 11,85 % mas</t>
  </si>
  <si>
    <t>CHAPTER 20 - PREPARATIONS OF VEGETABLES, FRUIT, NUTS OR OTHER PARTS OF PLANTS: Fruit, nuts and other edible parts of plants, otherwise prepared or preserved, whether or not containing added sugar or other sweetening matter or spirit, not elsewhere specified or included: Other, including mixtures other than those of subheading 200819: Cranberries (Vaccinium macrocarpon,  Vaccinium oxycoccos); lingonberries (Vaccinium vitis-idaea): Containing added spirit: Other: Other</t>
  </si>
  <si>
    <t>CHAPTER 20 - PREPARATIONS OF VEGETABLES, FRUIT, NUTS OR OTHER PARTS OF PLANTS: Fruit, nuts and other edible parts of plants, otherwise prepared or preserved, whether or not containing added sugar or other sweetening matter or spirit, not elsewhere specified or included: Other, including mixtures other than those of subheading 200819: Cranberries (Vaccinium macrocarpon,  Vaccinium oxycoccos, Vaccinium vitis-idaea): Containing added spirit: Other: Other</t>
  </si>
  <si>
    <t>Containing added sugar, in immediate packings of a net content exceeding 1 kg</t>
  </si>
  <si>
    <t>CHAPTER 20 - PREPARATIONS OF VEGETABLES, FRUIT, NUTS OR OTHER PARTS OF PLANTS: Fruit, nuts and other edible parts of plants, otherwise prepared or preserved, whether or not containing added sugar or other sweetening matter or spirit, not elsewhere specified or included: Other, including mixtures other than those of subheading 200819: Cranberries (Vaccinium macrocarpon,  Vaccinium oxycoccos); lingonberries (Vaccinium vitis-idaea): Not containing added spirit: Containing added sugar, in immediate packings of a net content exceeding 1 kg</t>
  </si>
  <si>
    <t>CHAPTER 20 - PREPARATIONS OF VEGETABLES, FRUIT, NUTS OR OTHER PARTS OF PLANTS: Fruit, nuts and other edible parts of plants, otherwise prepared or preserved, whether or not containing added sugar or other sweetening matter or spirit, not elsewhere specified or included: Other, including mixtures other than those of subheading 200819: Cranberries (Vaccinium macrocarpon,  Vaccinium oxycoccos, Vaccinium vitis-idaea): Not containing added spirit: Containing added sugar, in immediate packings of a net content exceeding 1 kg</t>
  </si>
  <si>
    <t>Containing added sugar, in immediate packings of a net content not exceeding 1 kg</t>
  </si>
  <si>
    <t>CHAPTER 20 - PREPARATIONS OF VEGETABLES, FRUIT, NUTS OR OTHER PARTS OF PLANTS: Fruit, nuts and other edible parts of plants, otherwise prepared or preserved, whether or not containing added sugar or other sweetening matter or spirit, not elsewhere specified or included: Other, including mixtures other than those of subheading 200819: Cranberries (Vaccinium macrocarpon,  Vaccinium oxycoccos); lingonberries (Vaccinium vitis-idaea): Not containing added spirit: Containing added sugar, in immediate packings of a net content not exceeding 1 kg</t>
  </si>
  <si>
    <t>CHAPTER 20 - PREPARATIONS OF VEGETABLES, FRUIT, NUTS OR OTHER PARTS OF PLANTS: Fruit, nuts and other edible parts of plants, otherwise prepared or preserved, whether or not containing added sugar or other sweetening matter or spirit, not elsewhere specified or included: Other, including mixtures other than those of subheading 200819: Cranberries (Vaccinium macrocarpon,  Vaccinium oxycoccos, Vaccinium vitis-idaea): Not containing added spirit: Containing added sugar, in immediate packings of a net content not exceeding 1 kg</t>
  </si>
  <si>
    <t>Not containing added sugar</t>
  </si>
  <si>
    <t>CHAPTER 20 - PREPARATIONS OF VEGETABLES, FRUIT, NUTS OR OTHER PARTS OF PLANTS: Fruit, nuts and other edible parts of plants, otherwise prepared or preserved, whether or not containing added sugar or other sweetening matter or spirit, not elsewhere specified or included: Other, including mixtures other than those of subheading 200819: Cranberries (Vaccinium macrocarpon,  Vaccinium oxycoccos); lingonberries (Vaccinium vitis-idaea): Not containing added spirit: Not containing added sugar</t>
  </si>
  <si>
    <t>CHAPTER 20 - PREPARATIONS OF VEGETABLES, FRUIT, NUTS OR OTHER PARTS OF PLANTS: Fruit, nuts and other edible parts of plants, otherwise prepared or preserved, whether or not containing added sugar or other sweetening matter or spirit, not elsewhere specified or included: Other, including mixtures other than those of subheading 200819: Cranberries (Vaccinium macrocarpon,  Vaccinium oxycoccos, Vaccinium vitis-idaea): Not containing added spirit: Not containing added sugar</t>
  </si>
  <si>
    <t>Of a value not exceeding € 30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</si>
  <si>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Orange juice: Frozen: Of a Brix value exceeding 67: Of a value not exceeding € 30 per 100 kg net weight</t>
  </si>
  <si>
    <t>CHAPTER 20 - PREPARATIONS OF VEGETABLES, FRUIT, NUTS OR OTHER PARTS OF PLANTS: Fruit juices (including grape must) and vegetable juices, unfermented and not containing added spirit, whether or not containing added sugar or other sweetening matter: Orange juice: Frozen: Of a Brix value exceeding 67: Of a value not exceeding € 30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</si>
  <si>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Orange juice: Frozen: Of a Brix value exceeding 67: Other</t>
  </si>
  <si>
    <t>CHAPTER 20 - PREPARATIONS OF VEGETABLES, FRUIT, NUTS OR OTHER PARTS OF PLANTS: Fruit juices (including grape must) and vegetable juices, unfermented and not containing added spirit, whether or not containing added sugar or other sweetening matter: Orange juice: Frozen: Of a Brix value exceeding 67: Other</t>
  </si>
  <si>
    <t>Of a value not exceeding € 30 per 100 kg net weight and with an added sugar content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</si>
  <si>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Orange juice: Frozen: Of a Brix value not exceeding 67: Of a value not exceeding € 30 per 100 kg net weight and with an added sugar content exceeding 30 % by weight</t>
  </si>
  <si>
    <t>CHAPTER 20 - PREPARATIONS OF VEGETABLES, FRUIT, NUTS OR OTHER PARTS OF PLANTS: Fruit juices (including grape must) and vegetable juices, unfermented and not containing added spirit, whether or not containing added sugar or other sweetening matter: Orange juice: Frozen: Of a Brix value not exceeding 67: Of a value not exceeding € 30 per 100 kg net weight and with an added sugar content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</si>
  <si>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Orange juice: Frozen: Of a Brix value not exceeding 67: Other</t>
  </si>
  <si>
    <t>CHAPTER 20 - PREPARATIONS OF VEGETABLES, FRUIT, NUTS OR OTHER PARTS OF PLANTS: Fruit juices (including grape must) and vegetable juices, unfermented and not containing added spirit, whether or not containing added sugar or other sweetening matter: Orange juice: Frozen: Of a Brix value not exceeding 67: Other</t>
  </si>
  <si>
    <t>Not frozen, of a Brix value not exceeding 20</t>
  </si>
  <si>
    <t>CHAPTER 20 - PREPARATIONS OF VEGETABLES, FRUIT, NUTS OR OTHER PARTS OF PLANTS: Fruit or nut juices (including grape must and coconut water) and vegetable juices, unfermented and not containing added spirit, whether or not containing added sugar or other sweetening matter: Orange juice: Not frozen, of a Brix value not exceeding 20</t>
  </si>
  <si>
    <t>CHAPTER 20 - PREPARATIONS OF VEGETABLES, FRUIT, NUTS OR OTHER PARTS OF PLANTS: Fruit juices (including grape must) and vegetable juices, unfermented and not containing added spirit, whether or not containing added sugar or other sweetening matter: Orange juice: Not frozen, of a Brix value not exceeding 20</t>
  </si>
  <si>
    <t>CHAPTER 20 - PREPARATIONS OF VEGETABLES, FRUIT, NUTS OR OTHER PARTS OF PLANTS: Fruit or nut juices (including grape must and coconut water) and vegetable juices, unfermented and not containing added spirit, whether or not containing added sugar or other sweetening matter: Orange juice: Other: Of a Brix value exceeding 67: Of a value not exceeding € 30 per 100 kg net weight</t>
  </si>
  <si>
    <t>CHAPTER 20 - PREPARATIONS OF VEGETABLES, FRUIT, NUTS OR OTHER PARTS OF PLANTS: Fruit juices (including grape must) and vegetable juices, unfermented and not containing added spirit, whether or not containing added sugar or other sweetening matter: Orange juice: Other: Of a Brix value exceeding 67: Of a value not exceeding € 30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</si>
  <si>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Orange juice: Other: Of a Brix value exceeding 67: Other</t>
  </si>
  <si>
    <t>CHAPTER 20 - PREPARATIONS OF VEGETABLES, FRUIT, NUTS OR OTHER PARTS OF PLANTS: Fruit juices (including grape must) and vegetable juices, unfermented and not containing added spirit, whether or not containing added sugar or other sweetening matter: Orange juice: Other: Of a Brix value exceeding 67: Other</t>
  </si>
  <si>
    <t>CHAPTER 20 - PREPARATIONS OF VEGETABLES, FRUIT, NUTS OR OTHER PARTS OF PLANTS: Fruit or nut juices (including grape must and coconut water) and vegetable juices, unfermented and not containing added spirit, whether or not containing added sugar or other sweetening matter: Orange juice: Other: Of a Brix value exceeding 20 but not exceeding 67: Of a value not exceeding € 30 per 100 kg net weight and with an added sugar content exceeding 30 % by weight</t>
  </si>
  <si>
    <t>CHAPTER 20 - PREPARATIONS OF VEGETABLES, FRUIT, NUTS OR OTHER PARTS OF PLANTS: Fruit juices (including grape must) and vegetable juices, unfermented and not containing added spirit, whether or not containing added sugar or other sweetening matter: Orange juice: Other: Of a Brix value exceeding 20 but not exceeding 67: Of a value not exceeding € 30 per 100 kg net weight and with an added sugar content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</si>
  <si>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Orange juice: Other: Of a Brix value exceeding 20 but not exceeding 67: Other</t>
  </si>
  <si>
    <t>CHAPTER 20 - PREPARATIONS OF VEGETABLES, FRUIT, NUTS OR OTHER PARTS OF PLANTS: Fruit juices (including grape must) and vegetable juices, unfermented and not containing added spirit, whether or not containing added sugar or other sweetening matter: Orange juice: Other: Of a Brix value exceeding 20 but not exceeding 67: Other</t>
  </si>
  <si>
    <t>Of a Brix value not exceeding 20</t>
  </si>
  <si>
    <t>CHAPTER 20 - PREPARATIONS OF VEGETABLES, FRUIT, NUTS OR OTHER PARTS OF PLANTS: Fruit or nut juices (including grape must and coconut water) and vegetable juices, unfermented and not containing added spirit, whether or not containing added sugar or other sweetening matter: Grapefruit juice; pomelo juice: Of a Brix value not exceeding 20</t>
  </si>
  <si>
    <t>CHAPTER 20 - PREPARATIONS OF VEGETABLES, FRUIT, NUTS OR OTHER PARTS OF PLANTS: Fruit juices (including grape must) and vegetable juices, unfermented and not containing added spirit, whether or not containing added sugar or other sweetening matter: Grapefruit (including pomelo) juice: Of a Brix value not exceeding 20</t>
  </si>
  <si>
    <t>CHAPTER 20 - PREPARATIONS OF VEGETABLES, FRUIT, NUTS OR OTHER PARTS OF PLANTS: Fruit or nut juices (including grape must and coconut water) and vegetable juices, unfermented and not containing added spirit, whether or not containing added sugar or other sweetening matter: Grapefruit juice; pomelo juice: Other: Of a Brix value exceeding 67: Of a value not exceeding € 30 per 100 kg net weight</t>
  </si>
  <si>
    <t>CHAPTER 20 - PREPARATIONS OF VEGETABLES, FRUIT, NUTS OR OTHER PARTS OF PLANTS: Fruit juices (including grape must) and vegetable juices, unfermented and not containing added spirit, whether or not containing added sugar or other sweetening matter: Grapefruit (including pomelo) juice: Other: Of a Brix value exceeding 67: Of a value not exceeding € 30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</si>
  <si>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Grapefruit juice; pomelo juice: Other: Of a Brix value exceeding 67: Other</t>
  </si>
  <si>
    <t>CHAPTER 20 - PREPARATIONS OF VEGETABLES, FRUIT, NUTS OR OTHER PARTS OF PLANTS: Fruit juices (including grape must) and vegetable juices, unfermented and not containing added spirit, whether or not containing added sugar or other sweetening matter: Grapefruit (including pomelo) juice: Other: Of a Brix value exceeding 67: Other</t>
  </si>
  <si>
    <t>CHAPTER 20 - PREPARATIONS OF VEGETABLES, FRUIT, NUTS OR OTHER PARTS OF PLANTS: Fruit or nut juices (including grape must and coconut water) and vegetable juices, unfermented and not containing added spirit, whether or not containing added sugar or other sweetening matter: Grapefruit juice; pomelo juice: Other: Of a Brix value exceeding 20 but not exceeding 67: Of a value not exceeding € 30 per 100 kg net weight and with an added sugar content exceeding 30 % by weight</t>
  </si>
  <si>
    <t>CHAPTER 20 - PREPARATIONS OF VEGETABLES, FRUIT, NUTS OR OTHER PARTS OF PLANTS: Fruit juices (including grape must) and vegetable juices, unfermented and not containing added spirit, whether or not containing added sugar or other sweetening matter: Grapefruit (including pomelo) juice: Other: Of a Brix value exceeding 20 but not exceeding 67: Of a value not exceeding € 30 per 100 kg net weight and with an added sugar content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</si>
  <si>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Grapefruit juice; pomelo juice: Other: Of a Brix value exceeding 20 but not exceeding 67: Other</t>
  </si>
  <si>
    <t>CHAPTER 20 - PREPARATIONS OF VEGETABLES, FRUIT, NUTS OR OTHER PARTS OF PLANTS: Fruit juices (including grape must) and vegetable juices, unfermented and not containing added spirit, whether or not containing added sugar or other sweetening matter: Grapefruit (including pomelo) juice: Other: Of a Brix value exceeding 20 but not exceeding 67: Other</t>
  </si>
  <si>
    <t>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</si>
  <si>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Of a Brix value not exceeding 20: Of a value exceeding € 30 per 100 kg net weight: Containing added sugar</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</si>
  <si>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Of a Brix value not exceeding 20: Of a value exceeding € 30 per 100 kg net weight: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</si>
  <si>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Of a Brix value not exceeding 20: Of a value exceeding € 30 per 100 kg net weight: Not containing added sugar</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</si>
  <si>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Of a Brix value not exceeding 20: Of a value exceeding € 30 per 100 kg net weight: Not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</si>
  <si>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Of a Brix value not exceeding 20: Of a value not exceeding € 30 per 100 kg net weight: Lemon juice: Containing added sugar</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</si>
  <si>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Of a Brix value not exceeding 20: Of a value not exceeding € 30 per 100 kg net weight: Lemon juice: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</si>
  <si>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Of a Brix value not exceeding 20: Of a value not exceeding € 30 per 100 kg net weight: Lemon juice: Not containing added sugar</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</si>
  <si>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Of a Brix value not exceeding 20: Of a value not exceeding € 30 per 100 kg net weight: Lemon juice: Not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</si>
  <si>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Of a Brix value not exceeding 20: Of a value not exceeding € 30 per 100 kg net weight: Other citrus fruit juices: Containing added sugar</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</si>
  <si>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Of a Brix value not exceeding 20: Of a value not exceeding € 30 per 100 kg net weight: Other citrus fruit juices: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</si>
  <si>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Of a Brix value not exceeding 20: Of a value not exceeding € 30 per 100 kg net weight: Other citrus fruit juices: Not containing added sugar</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</si>
  <si>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Of a Brix value not exceeding 20: Of a value not exceeding € 30 per 100 kg net weight: Other citrus fruit juices: Not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</si>
  <si>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Other: Of a Brix value exceeding 67: Of a value not exceeding € 30 per 100 kg net weight</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</si>
  <si>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Other: Of a Brix value exceeding 67: Of a value not exceeding € 30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</si>
  <si>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Other: Of a Brix value exceeding 67: Other</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</si>
  <si>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Other: Of a Brix value exceeding 67: Other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</si>
  <si>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Other: Of a Brix value exceeding 20 but not exceeding 67: Of a value exceeding € 30 per 100 kg net weight: Containing added sugar</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</si>
  <si>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Other: Of a Brix value exceeding 20 but not exceeding 67: Of a value exceeding € 30 per 100 kg net weight: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</si>
  <si>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Other: Of a Brix value exceeding 20 but not exceeding 67: Of a value exceeding € 30 per 100 kg net weight: Not containing added sugar</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</si>
  <si>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Other: Of a Brix value exceeding 20 but not exceeding 67: Of a value exceeding € 30 per 100 kg net weight: Not containing added sugar</t>
  </si>
  <si>
    <t>With an added sugar content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</si>
  <si>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Other: Of a Brix value exceeding 20 but not exceeding 67: Of a value not exceeding € 30 per 100 kg net weight: Lemon juice: With an added sugar content exceeding 30 % by weight</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</si>
  <si>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Other: Of a Brix value exceeding 20 but not exceeding 67: Of a value not exceeding € 30 per 100 kg net weight: Lemon juice: With an added sugar content exceeding 30 % by weight</t>
  </si>
  <si>
    <t>With an added sugar content not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</si>
  <si>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Other: Of a Brix value exceeding 20 but not exceeding 67: Of a value not exceeding € 30 per 100 kg net weight: Lemon juice: With an added sugar content not exceeding 30 % by weight</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</si>
  <si>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Other: Of a Brix value exceeding 20 but not exceeding 67: Of a value not exceeding € 30 per 100 kg net weight: Lemon juice: With an added sugar content not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</si>
  <si>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Other: Of a Brix value exceeding 20 but not exceeding 67: Of a value not exceeding € 30 per 100 kg net weight: Lemon juice: Not containing added sugar</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</si>
  <si>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Other: Of a Brix value exceeding 20 but not exceeding 67: Of a value not exceeding € 30 per 100 kg net weight: Lemon juice: Not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</si>
  <si>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Other: Of a Brix value exceeding 20 but not exceeding 67: Of a value not exceeding € 30 per 100 kg net weight: Other citrus fruit juices: With an added sugar content exceeding 30 % by weight</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</si>
  <si>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Other: Of a Brix value exceeding 20 but not exceeding 67: Of a value not exceeding € 30 per 100 kg net weight: Other citrus fruit juices: With an added sugar content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</si>
  <si>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Other: Of a Brix value exceeding 20 but not exceeding 67: Of a value not exceeding € 30 per 100 kg net weight: Other citrus fruit juices: With an added sugar content not exceeding 30 % by weight</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</si>
  <si>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Other: Of a Brix value exceeding 20 but not exceeding 67: Of a value not exceeding € 30 per 100 kg net weight: Other citrus fruit juices: With an added sugar content not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</si>
  <si>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citrus fruit: Other: Of a Brix value exceeding 20 but not exceeding 67: Of a value not exceeding € 30 per 100 kg net weight: Other citrus fruit juices: Not containing added sugar</t>
  </si>
  <si>
    <t>CHAPTER 20 - PREPARATIONS OF VEGETABLES, FRUIT, NUTS OR OTHER PARTS OF PLANTS: Fruit juices (including grape must) and vegetable juices, unfermented and not containing added spirit, whether or not containing added sugar or other sweetening matter: Juice of any other single citrus fruit: Other: Of a Brix value exceeding 20 but not exceeding 67: Of a value not exceeding € 30 per 100 kg net weight: Other citrus fruit juices: Not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</si>
  <si>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Pineapple juice: Of a Brix value not exceeding 20: Containing added sugar</t>
  </si>
  <si>
    <t>CHAPTER 20 - PREPARATIONS OF VEGETABLES, FRUIT, NUTS OR OTHER PARTS OF PLANTS: Fruit juices (including grape must) and vegetable juices, unfermented and not containing added spirit, whether or not containing added sugar or other sweetening matter: Pineapple juice: Of a Brix value not exceeding 20: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</si>
  <si>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Pineapple juice: Of a Brix value not exceeding 20: Not containing added sugar</t>
  </si>
  <si>
    <t>CHAPTER 20 - PREPARATIONS OF VEGETABLES, FRUIT, NUTS OR OTHER PARTS OF PLANTS: Fruit juices (including grape must) and vegetable juices, unfermented and not containing added spirit, whether or not containing added sugar or other sweetening matter: Pineapple juice: Of a Brix value not exceeding 20: Not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</si>
  <si>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Pineapple juice: Other: Of a Brix value exceeding 67: Of a value not exceeding € 30 per 100 kg net weight</t>
  </si>
  <si>
    <t>CHAPTER 20 - PREPARATIONS OF VEGETABLES, FRUIT, NUTS OR OTHER PARTS OF PLANTS: Fruit juices (including grape must) and vegetable juices, unfermented and not containing added spirit, whether or not containing added sugar or other sweetening matter: Pineapple juice: Other: Of a Brix value exceeding 67: Of a value not exceeding € 30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</si>
  <si>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Pineapple juice: Other: Of a Brix value exceeding 67: Other</t>
  </si>
  <si>
    <t>CHAPTER 20 - PREPARATIONS OF VEGETABLES, FRUIT, NUTS OR OTHER PARTS OF PLANTS: Fruit juices (including grape must) and vegetable juices, unfermented and not containing added spirit, whether or not containing added sugar or other sweetening matter: Pineapple juice: Other: Of a Brix value exceeding 67: Other</t>
  </si>
  <si>
    <t>Of a value exceeding € 30 per 100 kg net weight,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</si>
  <si>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Pineapple juice: Other: Of a Brix value exceeding 20 but not exceeding 67: Of a value exceeding € 30 per 100 kg net weight, containing added sugar</t>
  </si>
  <si>
    <t>CHAPTER 20 - PREPARATIONS OF VEGETABLES, FRUIT, NUTS OR OTHER PARTS OF PLANTS: Fruit juices (including grape must) and vegetable juices, unfermented and not containing added spirit, whether or not containing added sugar or other sweetening matter: Pineapple juice: Other: Of a Brix value exceeding 20 but not exceeding 67: Of a value exceeding € 30 per 100 kg net weight,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</si>
  <si>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Pineapple juice: Other: Of a Brix value exceeding 20 but not exceeding 67: Other: With an added sugar content exceeding 30 % by weight</t>
  </si>
  <si>
    <t>CHAPTER 20 - PREPARATIONS OF VEGETABLES, FRUIT, NUTS OR OTHER PARTS OF PLANTS: Fruit juices (including grape must) and vegetable juices, unfermented and not containing added spirit, whether or not containing added sugar or other sweetening matter: Pineapple juice: Other: Of a Brix value exceeding 20 but not exceeding 67: Other: With an added sugar content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</si>
  <si>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Pineapple juice: Other: Of a Brix value exceeding 20 but not exceeding 67: Other: With an added sugar content not exceeding 30 % by weight</t>
  </si>
  <si>
    <t>CHAPTER 20 - PREPARATIONS OF VEGETABLES, FRUIT, NUTS OR OTHER PARTS OF PLANTS: Fruit juices (including grape must) and vegetable juices, unfermented and not containing added spirit, whether or not containing added sugar or other sweetening matter: Pineapple juice: Other: Of a Brix value exceeding 20 but not exceeding 67: Other: With an added sugar content not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</si>
  <si>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Pineapple juice: Other: Of a Brix value exceeding 20 but not exceeding 67: Other: Not containing added sugar</t>
  </si>
  <si>
    <t>CHAPTER 20 - PREPARATIONS OF VEGETABLES, FRUIT, NUTS OR OTHER PARTS OF PLANTS: Fruit juices (including grape must) and vegetable juices, unfermented and not containing added spirit, whether or not containing added sugar or other sweetening matter: Pineapple juice: Other: Of a Brix value exceeding 20 but not exceeding 67: Other: Not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</si>
  <si>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Tomato juice: Containing added sugar</t>
  </si>
  <si>
    <t>CHAPTER 20 - PREPARATIONS OF VEGETABLES, FRUIT, NUTS OR OTHER PARTS OF PLANTS: Fruit juices (including grape must) and vegetable juices, unfermented and not containing added spirit, whether or not containing added sugar or other sweetening matter: Tomato juice: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</si>
  <si>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Tomato juice: Other</t>
  </si>
  <si>
    <t>CHAPTER 20 - PREPARATIONS OF VEGETABLES, FRUIT, NUTS OR OTHER PARTS OF PLANTS: Fruit juices (including grape must) and vegetable juices, unfermented and not containing added spirit, whether or not containing added sugar or other sweetening matter: Tomato juice: Other</t>
  </si>
  <si>
    <t>Of a value exceeding € 18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</si>
  <si>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Grape juice (including grape must): Of a Brix value not exceeding 30: Of a value exceeding € 18 per 100 kg net weight</t>
  </si>
  <si>
    <t>CHAPTER 20 - PREPARATIONS OF VEGETABLES, FRUIT, NUTS OR OTHER PARTS OF PLANTS: Fruit juices (including grape must) and vegetable juices, unfermented and not containing added spirit, whether or not containing added sugar or other sweetening matter: Grape juice (including grape must): Of a Brix value not exceeding 30: Of a value exceeding € 18 per 100 kg net weight</t>
  </si>
  <si>
    <t>Of a value not exceeding € 18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</si>
  <si>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Grape juice (including grape must): Of a Brix value not exceeding 30: Of a value not exceeding € 18 per 100 kg net weight</t>
  </si>
  <si>
    <t>CHAPTER 20 - PREPARATIONS OF VEGETABLES, FRUIT, NUTS OR OTHER PARTS OF PLANTS: Fruit juices (including grape must) and vegetable juices, unfermented and not containing added spirit, whether or not containing added sugar or other sweetening matter: Grape juice (including grape must): Of a Brix value not exceeding 30: Of a value not exceeding € 18 per 100 kg net weight</t>
  </si>
  <si>
    <t>Of a value not exceeding € 22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</si>
  <si>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Grape juice (including grape must): Other: Of a Brix value exceeding 67: Of a value not exceeding € 22 per 100 kg net weight</t>
  </si>
  <si>
    <t>CHAPTER 20 - PREPARATIONS OF VEGETABLES, FRUIT, NUTS OR OTHER PARTS OF PLANTS: Fruit juices (including grape must) and vegetable juices, unfermented and not containing added spirit, whether or not containing added sugar or other sweetening matter: Grape juice (including grape must): Other: Of a Brix value exceeding 67: Of a value not exceeding € 22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</si>
  <si>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Grape juice (including grape must): Other: Of a Brix value exceeding 67: Other</t>
  </si>
  <si>
    <t>CHAPTER 20 - PREPARATIONS OF VEGETABLES, FRUIT, NUTS OR OTHER PARTS OF PLANTS: Fruit juices (including grape must) and vegetable juices, unfermented and not containing added spirit, whether or not containing added sugar or other sweetening matter: Grape juice (including grape must): Other: Of a Brix value exceeding 67: Other</t>
  </si>
  <si>
    <t>Concentrated</t>
  </si>
  <si>
    <t>CHAPTER 20 - PREPARATIONS OF VEGETABLES, FRUIT, NUTS OR OTHER PARTS OF PLANTS: Fruit or nut juices (including grape must and coconut water) and vegetable juices, unfermented and not containing added spirit, whether or not containing added sugar or other sweetening matter: Grape juice (including grape must): Other: Of a Brix value exceeding 30 but not exceeding 67: Of a value exceeding € 18 per 100 kg net weight: Concentrated</t>
  </si>
  <si>
    <t>CHAPTER 20 - PREPARATIONS OF VEGETABLES, FRUIT, NUTS OR OTHER PARTS OF PLANTS: Fruit juices (including grape must) and vegetable juices, unfermented and not containing added spirit, whether or not containing added sugar or other sweetening matter: Grape juice (including grape must): Other: Of a Brix value exceeding 30 but not exceeding 67: Of a value exceeding € 18 per 100 kg net weight: Concentrated</t>
  </si>
  <si>
    <t>CHAPTER 20 - PREPARATIONS OF VEGETABLES, FRUIT, NUTS OR OTHER PARTS OF PLANTS: Fruit or nut juices (including grape must and coconut water) and vegetable juices, unfermented and not containing added spirit, whether or not containing added sugar or other sweetening matter: Grape juice (including grape must): Other: Of a Brix value exceeding 30 but not exceeding 67: Of a value exceeding € 18 per 100 kg net weight: Other</t>
  </si>
  <si>
    <t>CHAPTER 20 - PREPARATIONS OF VEGETABLES, FRUIT, NUTS OR OTHER PARTS OF PLANTS: Fruit juices (including grape must) and vegetable juices, unfermented and not containing added spirit, whether or not containing added sugar or other sweetening matter: Grape juice (including grape must): Other: Of a Brix value exceeding 30 but not exceeding 67: Of a value exceeding € 18 per 100 kg net weight: Other</t>
  </si>
  <si>
    <t>CHAPTER 20 - PREPARATIONS OF VEGETABLES, FRUIT, NUTS OR OTHER PARTS OF PLANTS: Fruit or nut juices (including grape must and coconut water) and vegetable juices, unfermented and not containing added spirit, whether or not containing added sugar or other sweetening matter: Grape juice (including grape must): Other: Of a Brix value exceeding 30 but not exceeding 67: Of a value not exceeding € 18 per 100 kg net weight: With an added sugar content exceeding 30 % by weight: Concentrated</t>
  </si>
  <si>
    <t>CHAPTER 20 - PREPARATIONS OF VEGETABLES, FRUIT, NUTS OR OTHER PARTS OF PLANTS: Fruit juices (including grape must) and vegetable juices, unfermented and not containing added spirit, whether or not containing added sugar or other sweetening matter: Grape juice (including grape must): Other: Of a Brix value exceeding 30 but not exceeding 67: Of a value not exceeding € 18 per 100 kg net weight: With an added sugar content exceeding 30 % by weight: Concentrated</t>
  </si>
  <si>
    <t>CHAPTER 20 - PREPARATIONS OF VEGETABLES, FRUIT, NUTS OR OTHER PARTS OF PLANTS: Fruit or nut juices (including grape must and coconut water) and vegetable juices, unfermented and not containing added spirit, whether or not containing added sugar or other sweetening matter: Grape juice (including grape must): Other: Of a Brix value exceeding 30 but not exceeding 67: Of a value not exceeding € 18 per 100 kg net weight: With an added sugar content exceeding 30 % by weight: Other</t>
  </si>
  <si>
    <t>CHAPTER 20 - PREPARATIONS OF VEGETABLES, FRUIT, NUTS OR OTHER PARTS OF PLANTS: Fruit juices (including grape must) and vegetable juices, unfermented and not containing added spirit, whether or not containing added sugar or other sweetening matter: Grape juice (including grape must): Other: Of a Brix value exceeding 30 but not exceeding 67: Of a value not exceeding € 18 per 100 kg net weight: With an added sugar content exceeding 30 % by weight: Other</t>
  </si>
  <si>
    <t>CHAPTER 20 - PREPARATIONS OF VEGETABLES, FRUIT, NUTS OR OTHER PARTS OF PLANTS: Fruit or nut juices (including grape must and coconut water) and vegetable juices, unfermented and not containing added spirit, whether or not containing added sugar or other sweetening matter: Grape juice (including grape must): Other: Of a Brix value exceeding 30 but not exceeding 67: Of a value not exceeding € 18 per 100 kg net weight: Other</t>
  </si>
  <si>
    <t>CHAPTER 20 - PREPARATIONS OF VEGETABLES, FRUIT, NUTS OR OTHER PARTS OF PLANTS: Fruit juices (including grape must) and vegetable juices, unfermented and not containing added spirit, whether or not containing added sugar or other sweetening matter: Grape juice (including grape must): Other: Of a Brix value exceeding 30 but not exceeding 67: Of a value not exceeding € 18 per 100 kg net weight: Other</t>
  </si>
  <si>
    <t>CHAPTER 20 - PREPARATIONS OF VEGETABLES, FRUIT, NUTS OR OTHER PARTS OF PLANTS: Fruit or nut juices (including grape must and coconut water) and vegetable juices, unfermented and not containing added spirit, whether or not containing added sugar or other sweetening matter: Apple juice: Of a Brix value not exceeding 20: Containing added sugar</t>
  </si>
  <si>
    <t>CHAPTER 20 - PREPARATIONS OF VEGETABLES, FRUIT, NUTS OR OTHER PARTS OF PLANTS: Fruit juices (including grape must) and vegetable juices, unfermented and not containing added spirit, whether or not containing added sugar or other sweetening matter: Apple juice: Of a Brix value not exceeding 20: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</si>
  <si>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Apple juice: Of a Brix value not exceeding 20: Not containing added sugar</t>
  </si>
  <si>
    <t>CHAPTER 20 - PREPARATIONS OF VEGETABLES, FRUIT, NUTS OR OTHER PARTS OF PLANTS: Fruit juices (including grape must) and vegetable juices, unfermented and not containing added spirit, whether or not containing added sugar or other sweetening matter: Apple juice: Of a Brix value not exceeding 20: Not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</si>
  <si>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Apple juice: Other: Of a Brix value exceeding 67: Of a value not exceeding € 22 per 100 kg net weight</t>
  </si>
  <si>
    <t>CHAPTER 20 - PREPARATIONS OF VEGETABLES, FRUIT, NUTS OR OTHER PARTS OF PLANTS: Fruit juices (including grape must) and vegetable juices, unfermented and not containing added spirit, whether or not containing added sugar or other sweetening matter: Apple juice: Other: Of a Brix value exceeding 67: Of a value not exceeding € 22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</si>
  <si>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Apple juice: Other: Of a Brix value exceeding 67: Other</t>
  </si>
  <si>
    <t>CHAPTER 20 - PREPARATIONS OF VEGETABLES, FRUIT, NUTS OR OTHER PARTS OF PLANTS: Fruit juices (including grape must) and vegetable juices, unfermented and not containing added spirit, whether or not containing added sugar or other sweetening matter: Apple juice: Other: Of a Brix value exceeding 67: Other</t>
  </si>
  <si>
    <t>Of a value exceeding € 18 per 100 kg net weight,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</si>
  <si>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Apple juice: Other: Of a Brix value exceeding 20 but not exceeding 67: Of a value exceeding € 18 per 100 kg net weight, containing added sugar</t>
  </si>
  <si>
    <t>CHAPTER 20 - PREPARATIONS OF VEGETABLES, FRUIT, NUTS OR OTHER PARTS OF PLANTS: Fruit juices (including grape must) and vegetable juices, unfermented and not containing added spirit, whether or not containing added sugar or other sweetening matter: Apple juice: Other: Of a Brix value exceeding 20 but not exceeding 67: Of a value exceeding € 18 per 100 kg net weight,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</si>
  <si>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Apple juice: Other: Of a Brix value exceeding 20 but not exceeding 67: Other: With an added sugar content exceeding 30 % by weight</t>
  </si>
  <si>
    <t>CHAPTER 20 - PREPARATIONS OF VEGETABLES, FRUIT, NUTS OR OTHER PARTS OF PLANTS: Fruit juices (including grape must) and vegetable juices, unfermented and not containing added spirit, whether or not containing added sugar or other sweetening matter: Apple juice: Other: Of a Brix value exceeding 20 but not exceeding 67: Other: With an added sugar content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</si>
  <si>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Apple juice: Other: Of a Brix value exceeding 20 but not exceeding 67: Other: Other</t>
  </si>
  <si>
    <t>CHAPTER 20 - PREPARATIONS OF VEGETABLES, FRUIT, NUTS OR OTHER PARTS OF PLANTS: Fruit juices (including grape must) and vegetable juices, unfermented and not containing added spirit, whether or not containing added sugar or other sweetening matter: Apple juice: Other: Of a Brix value exceeding 20 but not exceeding 67: Other: Other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</si>
  <si>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Cranberry (Vaccinium macrocarpon, Vaccinium oxycoccos) juice; lingonberry (Vaccinium vitis-idaea) juice: Of a Brix value exceeding 67: Of a value not exceeding € 30 per 100 kg net weight</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</si>
  <si>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Cranberry (Vaccinium macrocarpon, Vaccinium oxycoccos, Vaccinium vitis-idaea) juice: Of a Brix value exceeding 67: Of a value not exceeding € 30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</si>
  <si>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Cranberry (Vaccinium macrocarpon, Vaccinium oxycoccos) juice; lingonberry (Vaccinium vitis-idaea) juice: Of a Brix value exceeding 67: Other</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</si>
  <si>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Cranberry (Vaccinium macrocarpon, Vaccinium oxycoccos, Vaccinium vitis-idaea) juice: Of a Brix value exceeding 67: Other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</si>
  <si>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Cranberry (Vaccinium macrocarpon, Vaccinium oxycoccos) juice; lingonberry (Vaccinium vitis-idaea) juice: Of a Brix value not exceeding 67: Of a value exceeding € 30 per 100 kg net weight, containing added sugar</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</si>
  <si>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Cranberry (Vaccinium macrocarpon, Vaccinium oxycoccos, Vaccinium vitis-idaea) juice: Of a Brix value not exceeding 67: Of a value exceeding € 30 per 100 kg net weight,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</si>
  <si>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Cranberry (Vaccinium macrocarpon, Vaccinium oxycoccos) juice; lingonberry (Vaccinium vitis-idaea) juice: Of a Brix value not exceeding 67: Other: With an added sugar content exceeding 30 % by weight</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</si>
  <si>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Cranberry (Vaccinium macrocarpon, Vaccinium oxycoccos, Vaccinium vitis-idaea) juice: Of a Brix value not exceeding 67: Other: With an added sugar content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</si>
  <si>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Cranberry (Vaccinium macrocarpon, Vaccinium oxycoccos) juice; lingonberry (Vaccinium vitis-idaea) juice: Of a Brix value not exceeding 67: Other: With an added sugar content not exceeding 30 % by weight</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</si>
  <si>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Cranberry (Vaccinium macrocarpon, Vaccinium oxycoccos, Vaccinium vitis-idaea) juice: Of a Brix value not exceeding 67: Other: With an added sugar content not exceeding 30 % by weight</t>
  </si>
  <si>
    <t>Juice of fruit of the species Vaccinium macrocarpon</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</si>
  <si>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Cranberry (Vaccinium macrocarpon, Vaccinium oxycoccos) juice; lingonberry (Vaccinium vitis-idaea) juice: Of a Brix value not exceeding 67: Other: Not containing added sugar: Juice of fruit of the species Vaccinium macrocarpon</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</si>
  <si>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Cranberry (Vaccinium macrocarpon, Vaccinium oxycoccos, Vaccinium vitis-idaea) juice: Of a Brix value not exceeding 67: Other: Not containing added sugar: Juice of fruit of the species Vaccinium macrocarpon</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</si>
  <si>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Cranberry (Vaccinium macrocarpon, Vaccinium oxycoccos) juice; lingonberry (Vaccinium vitis-idaea) juice: Of a Brix value not exceeding 67: Other: Not containing added sugar: Other</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</si>
  <si>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Cranberry (Vaccinium macrocarpon, Vaccinium oxycoccos, Vaccinium vitis-idaea) juice: Of a Brix value not exceeding 67: Other: Not containing added sugar: Other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</si>
  <si>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exceeding 67: Pear juice: Of a value not exceeding € 22 per 100 kg net weight</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</si>
  <si>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exceeding 67: Pear juice: Of a value not exceeding € 22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</si>
  <si>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exceeding 67: Pear juice: Other</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</si>
  <si>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exceeding 67: Pear juice: Other</t>
  </si>
  <si>
    <t>Juices of tropical fruit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</si>
  <si>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exceeding 67: Other: Of a value not exceeding € 30 per 100 kg net weight: Juices of tropical fruit</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</si>
  <si>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exceeding 67: Other: Of a value not exceeding € 30 per 100 kg net weight: Juices of tropical fruit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</si>
  <si>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exceeding 67: Other: Of a value not exceeding € 30 per 100 kg net weight: Other</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</si>
  <si>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exceeding 67: Other: Of a value not exceeding € 30 per 100 kg net weight: Other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</si>
  <si>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exceeding 67: Other: Other: Juices of tropical fruit</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</si>
  <si>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exceeding 67: Other: Other: Juices of tropical fruit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</si>
  <si>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exceeding 67: Other: Other: Other</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</si>
  <si>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exceeding 67: Other: Other: Other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</si>
  <si>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not exceeding 67: Pear juice: Of a value exceeding € 18 per 100 kg net weight, containing added sugar</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</si>
  <si>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not exceeding 67: Pear juice: Of a value exceeding € 18 per 100 kg net weight,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</si>
  <si>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not exceeding 67: Pear juice: Other: With an added sugar content exceeding 30 % by weight</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</si>
  <si>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not exceeding 67: Pear juice: Other: With an added sugar content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</si>
  <si>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not exceeding 67: Pear juice: Other: With an added sugar content not exceeding 30 % by weight</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</si>
  <si>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not exceeding 67: Pear juice: Other: With an added sugar content not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</si>
  <si>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not exceeding 67: Pear juice: Other: Not containing added sugar</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</si>
  <si>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not exceeding 67: Pear juice: Other: Not containing added sugar</t>
  </si>
  <si>
    <t>Cherry juice</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</si>
  <si>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not exceeding 67: Other: Of a value exceeding € 30 per 100 kg net weight, containing added sugar: Cherry juice</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</si>
  <si>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not exceeding 67: Other: Of a value exceeding € 30 per 100 kg net weight, containing added sugar: Cherry juice</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</si>
  <si>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not exceeding 67: Other: Of a value exceeding € 30 per 100 kg net weight, containing added sugar: Juices of tropical fruit</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</si>
  <si>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not exceeding 67: Other: Of a value exceeding € 30 per 100 kg net weight, containing added sugar: Juices of tropical fruit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</si>
  <si>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not exceeding 67: Other: Of a value exceeding € 30 per 100 kg net weight, containing added sugar: Other</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</si>
  <si>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not exceeding 67: Other: Of a value exceeding € 30 per 100 kg net weight, containing added sugar: Other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</si>
  <si>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not exceeding 67: Other: Other: With an added sugar content exceeding 30 % by weight: Juices of tropical fruit</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</si>
  <si>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not exceeding 67: Other: Other: With an added sugar content exceeding 30 % by weight: Juices of tropical fruit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</si>
  <si>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not exceeding 67: Other: Other: With an added sugar content exceeding 30 % by weight: Other</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</si>
  <si>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not exceeding 67: Other: Other: With an added sugar content exceeding 30 % by weight: Other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</si>
  <si>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not exceeding 67: Other: Other: With an added sugar content not exceeding 30 % by weight: Juices of tropical fruit</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</si>
  <si>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not exceeding 67: Other: Other: With an added sugar content not exceeding 30 % by weight: Juices of tropical fruit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</si>
  <si>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not exceeding 67: Other: Other: With an added sugar content not exceeding 30 % by weight: Other</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</si>
  <si>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not exceeding 67: Other: Other: With an added sugar content not exceeding 30 % by weight: Other</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</si>
  <si>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not exceeding 67: Other: Other: Not containing added sugar: Cherry juice</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</si>
  <si>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not exceeding 67: Other: Other: Not containing added sugar: Cherry juice</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</si>
  <si>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not exceeding 67: Other: Other: Not containing added sugar: Juices of tropical fruit</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</si>
  <si>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not exceeding 67: Other: Other: Not containing added sugar: Juices of tropical fruit</t>
  </si>
  <si>
    <t>CHAPTER 20 - PREPARATIONS OF VEGETABLES, FRUIT, NUTS OR OTHER PARTS OF PLANTS: Fruit or nut juices (including grape must and coconut water) and vegetable juices, unfermented and not containing added spirit, whether or not containing added sugar or other sweetening matter: Juice of any other single fruit, nut or vegetable: Other: Of a Brix value not exceeding 67: Other: Other: Not containing added sugar: Other</t>
  </si>
  <si>
    <t>CHAPTER 20 - PREPARATIONS OF VEGETABLES, FRUIT, NUTS OR OTHER PARTS OF PLANTS: Fruit juices (including grape must) and vegetable juices, unfermented and not containing added spirit, whether or not containing added sugar or other sweetening matter: Juice of any other single fruit or vegetable: Other: Of a Brix value not exceeding 67: Other: Other: Not containing added sugar: Other</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</si>
  <si>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exceeding 67: Mixtures of apple and pear juice: Of a value not exceeding € 22 per 100 kg net weight</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</si>
  <si>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exceeding 67: Mixtures of apple and pear juice: Of a value not exceeding € 22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</si>
  <si>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exceeding 67: Mixtures of apple and pear juice: Other</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</si>
  <si>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exceeding 67: Mixtures of apple and pear juice: Other</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</si>
  <si>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exceeding 67: Other: Of a value not exceeding € 30 per 100 kg net weight</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</si>
  <si>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exceeding 67: Other: Of a value not exceeding € 30 per 100 kg net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</si>
  <si>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exceeding 67: Other: Other</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</si>
  <si>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exceeding 67: Other: Other</t>
  </si>
  <si>
    <t>Of a value not exceeding € 18 per 100 kg net weight and with an added sugar content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</si>
  <si>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Mixtures of apple and pear juice: Of a value not exceeding € 18 per 100 kg net weight and with an added sugar content exceeding 30 % by weight</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</si>
  <si>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Mixtures of apple and pear juice: Of a value not exceeding € 18 per 100 kg net weight and with an added sugar content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</si>
  <si>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Mixtures of apple and pear juice: Other</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</si>
  <si>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Mixtures of apple and pear juice: Other</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</si>
  <si>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Other: Of a value exceeding € 30 per 100 kg net weight: Mixtures of citrus fruit juices and pineapple juice: Containing added sugar</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</si>
  <si>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Other: Of a value exceeding € 30 per 100 kg net weight: Mixtures of citrus fruit juices and pineapple juice: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</si>
  <si>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Other: Of a value exceeding € 30 per 100 kg net weight: Mixtures of citrus fruit juices and pineapple juice: Other</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</si>
  <si>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Other: Of a value exceeding € 30 per 100 kg net weight: Mixtures of citrus fruit juices and pineapple juice: Other</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</si>
  <si>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Other: Of a value exceeding € 30 per 100 kg net weight: Other: Containing added sugar</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</si>
  <si>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Other: Of a value exceeding € 30 per 100 kg net weight: Other: Containing added sugar</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</si>
  <si>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Other: Of a value exceeding € 30 per 100 kg net weight: Other: Other</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</si>
  <si>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Other: Of a value exceeding € 30 per 100 kg net weight: Other: Other</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</si>
  <si>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Other: Of a value not exceeding € 30 per 100 kg net weight: Mixtures of citrus fruit juices and pineapple juice: With an added sugar content exceeding 30 % by weight</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</si>
  <si>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Other: Of a value not exceeding € 30 per 100 kg net weight: Mixtures of citrus fruit juices and pineapple juice: With an added sugar content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</si>
  <si>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Other: Of a value not exceeding € 30 per 100 kg net weight: Mixtures of citrus fruit juices and pineapple juice: With an added sugar content not exceeding 30 % by weight</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</si>
  <si>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Other: Of a value not exceeding € 30 per 100 kg net weight: Mixtures of citrus fruit juices and pineapple juice: With an added sugar content not exceeding 30 % by weight</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</si>
  <si>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Other: Of a value not exceeding € 30 per 100 kg net weight: Mixtures of citrus fruit juices and pineapple juice: Not containing added sugar</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</si>
  <si>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Other: Of a value not exceeding € 30 per 100 kg net weight: Mixtures of citrus fruit juices and pineapple juice: Not containing added sugar</t>
  </si>
  <si>
    <t>Mixtures of juices of tropical fruit</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</si>
  <si>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Other: Of a value not exceeding € 30 per 100 kg net weight: Other: With an added sugar content exceeding 30 % by weight: Mixtures of juices of tropical fruit</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</si>
  <si>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Other: Of a value not exceeding € 30 per 100 kg net weight: Other: With an added sugar content exceeding 30 % by weight: Mixtures of juices of tropical fruit</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</si>
  <si>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Other: Of a value not exceeding € 30 per 100 kg net weight: Other: With an added sugar content exceeding 30 % by weight: Other</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</si>
  <si>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Other: Of a value not exceeding € 30 per 100 kg net weight: Other: With an added sugar content exceeding 30 % by weight: Other</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</si>
  <si>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Other: Of a value not exceeding € 30 per 100 kg net weight: Other: With an added sugar content not exceeding 30 % by weight: Mixtures of juices of tropical fruit</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</si>
  <si>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Other: Of a value not exceeding € 30 per 100 kg net weight: Other: With an added sugar content not exceeding 30 % by weight: Mixtures of juices of tropical fruit</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</si>
  <si>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Other: Of a value not exceeding € 30 per 100 kg net weight: Other: With an added sugar content not exceeding 30 % by weight: Other</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</si>
  <si>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Other: Of a value not exceeding € 30 per 100 kg net weight: Other: With an added sugar content not exceeding 30 % by weight: Other</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</si>
  <si>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Other: Of a value not exceeding € 30 per 100 kg net weight: Other: Not containing added sugar: Mixtures of juices of tropical fruit</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</si>
  <si>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Other: Of a value not exceeding € 30 per 100 kg net weight: Other: Not containing added sugar: Mixtures of juices of tropical fruit</t>
  </si>
  <si>
    <t>CHAPTER 20 - PREPARATIONS OF VEGETABLES, FRUIT, NUTS OR OTHER PARTS OF PLANTS: Fruit or nut juices (including grape must and coconut water) and vegetable juices, unfermented and not containing added spirit, whether or not containing added sugar or other sweetening matter: Mixtures of juices: Of a Brix value not exceeding 67: Other: Of a value not exceeding € 30 per 100 kg net weight: Other: Not containing added sugar: Other</t>
  </si>
  <si>
    <t>CHAPTER 20 - PREPARATIONS OF VEGETABLES, FRUIT, NUTS OR OTHER PARTS OF PLANTS: Fruit juices (including grape must) and vegetable juices, unfermented and not containing added spirit, whether or not containing added sugar or other sweetening matter: Mixtures of juices: Of a Brix value not exceeding 67: Other: Of a value not exceeding € 30 per 100 kg net weight: Other: Not containing added sugar: Other</t>
  </si>
  <si>
    <t>Waters, including mineral waters and aerated waters, containing added sugar or other sweetening matter or flavoured</t>
  </si>
  <si>
    <t>CHAPTER 22 - BEVERAGES, SPIRITS AND VINEGAR: Waters, including mineral waters and aerated waters, containing added sugar or other sweetening matter or flavoured, and other non-alcoholic beverages, not including fruit, nut or vegetable juices of heading 2009: Waters, including mineral waters and aerated waters, containing added sugar or other sweetening matter or flavoured</t>
  </si>
  <si>
    <t>CHAPTER 22 - BEVERAGES, SPIRITS AND VINEGAR: Waters, including mineral waters and aerated waters, containing added sugar or other sweetening matter or flavoured, and other non-alcoholic beverages, not including fruit or vegetable juices of heading 2009: Waters, including mineral waters and aerated waters, containing added sugar or other sweetening matter or flavoured</t>
  </si>
  <si>
    <t>Non-alcoholic beer</t>
  </si>
  <si>
    <t>CHAPTER 22 - BEVERAGES, SPIRITS AND VINEGAR: Waters, including mineral waters and aerated waters, containing added sugar or other sweetening matter or flavoured, and other non-alcoholic beverages, not including fruit, nut or vegetable juices of heading 2009: Other: Non-alcoholic beer</t>
  </si>
  <si>
    <t>CHAPTER 22 - BEVERAGES, SPIRITS AND VINEGAR: Waters, including mineral waters and aerated waters, containing added sugar or other sweetening matter or flavoured, and other non-alcoholic beverages, not including fruit or vegetable juices of heading 2009: Other: Non-alcoholic beer</t>
  </si>
  <si>
    <t>Soya-based beverages with a protein content of 2,8 % or more by weight</t>
  </si>
  <si>
    <t>CHAPTER 22 - BEVERAGES, SPIRITS AND VINEGAR: Waters, including mineral waters and aerated waters, containing added sugar or other sweetening matter or flavoured, and other non-alcoholic beverages, not including fruit, nut or vegetable juices of heading 2009: Other: Other: Not containing products of headings 0401 to 0404 or fat obtained from products of headings 0401 to 0404: Soya-based beverages with a protein content of 2,8 % or more by weight</t>
  </si>
  <si>
    <t>CHAPTER 22 - BEVERAGES, SPIRITS AND VINEGAR: Waters, including mineral waters and aerated waters, containing added sugar or other sweetening matter or flavoured, and other non-alcoholic beverages, not including fruit or vegetable juices of heading 2009: Other: Other: Not containing products of headings 0401 to 0404 or fat obtained from products of headings 0401 to 0404: Soya-based beverages with a protein content of 2,8 % or more by weight</t>
  </si>
  <si>
    <t>Soya-based beverages with a protein content of less than 2,8 % by weight; beverages based on nuts of Chapter 8, cereals of Chapter 10 or seeds of Chapter 12</t>
  </si>
  <si>
    <t>CHAPTER 22 - BEVERAGES, SPIRITS AND VINEGAR: Waters, including mineral waters and aerated waters, containing added sugar or other sweetening matter or flavoured, and other non-alcoholic beverages, not including fruit, nut or vegetable juices of heading 2009: Other: Other: Not containing products of headings 0401 to 0404 or fat obtained from products of headings 0401 to 0404: Soya-based beverages with a protein content of less than 2,8 % by weight; beverages based on nuts of Chapter 8, cereals of Chapter 10 or seeds of Chapter 12</t>
  </si>
  <si>
    <t>CHAPTER 22 - BEVERAGES, SPIRITS AND VINEGAR: Waters, including mineral waters and aerated waters, containing added sugar or other sweetening matter or flavoured, and other non-alcoholic beverages, not including fruit or vegetable juices of heading 2009: Other: Other: Not containing products of headings 0401 to 0404 or fat obtained from products of headings 0401 to 0404: Soya-based beverages with a protein content of less than 2,8 % by weight; beverages based on nuts of Chapter 8, cereals of Chapter 10 or seeds of Chapter 12</t>
  </si>
  <si>
    <t>CHAPTER 22 - BEVERAGES, SPIRITS AND VINEGAR: Waters, including mineral waters and aerated waters, containing added sugar or other sweetening matter or flavoured, and other non-alcoholic beverages, not including fruit, nut or vegetable juices of heading 2009: Other: Other: Not containing products of headings 0401 to 0404 or fat obtained from products of headings 0401 to 0404: Other</t>
  </si>
  <si>
    <t>CHAPTER 22 - BEVERAGES, SPIRITS AND VINEGAR: Waters, including mineral waters and aerated waters, containing added sugar or other sweetening matter or flavoured, and other non-alcoholic beverages, not including fruit or vegetable juices of heading 2009: Other: Other: Not containing products of headings 0401 to 0404 or fat obtained from products of headings 0401 to 0404: Other</t>
  </si>
  <si>
    <t>Less than 0,2 %</t>
  </si>
  <si>
    <t>CHAPTER 22 - BEVERAGES, SPIRITS AND VINEGAR: Waters, including mineral waters and aerated waters, containing added sugar or other sweetening matter or flavoured, and other non-alcoholic beverages, not including fruit, nut or vegetable juices of heading 2009: Other: Other: Other, containing by weight of fat obtained from the products of headings 0401 to 0404: Less than 0,2 %</t>
  </si>
  <si>
    <t>CHAPTER 22 - BEVERAGES, SPIRITS AND VINEGAR: Waters, including mineral waters and aerated waters, containing added sugar or other sweetening matter or flavoured, and other non-alcoholic beverages, not including fruit or vegetable juices of heading 2009: Other: Other: Other, containing by weight of fat obtained from the products of headings 0401 to 0404: Less than 0,2 %</t>
  </si>
  <si>
    <t>0,2 % or more but less than 2 %</t>
  </si>
  <si>
    <t>CHAPTER 22 - BEVERAGES, SPIRITS AND VINEGAR: Waters, including mineral waters and aerated waters, containing added sugar or other sweetening matter or flavoured, and other non-alcoholic beverages, not including fruit, nut or vegetable juices of heading 2009: Other: Other: Other, containing by weight of fat obtained from the products of headings 0401 to 0404: 0,2 % or more but less than 2 %</t>
  </si>
  <si>
    <t>CHAPTER 22 - BEVERAGES, SPIRITS AND VINEGAR: Waters, including mineral waters and aerated waters, containing added sugar or other sweetening matter or flavoured, and other non-alcoholic beverages, not including fruit or vegetable juices of heading 2009: Other: Other: Other, containing by weight of fat obtained from the products of headings 0401 to 0404: 0,2 % or more but less than 2 %</t>
  </si>
  <si>
    <t>2 % or more</t>
  </si>
  <si>
    <t>CHAPTER 22 - BEVERAGES, SPIRITS AND VINEGAR: Waters, including mineral waters and aerated waters, containing added sugar or other sweetening matter or flavoured, and other non-alcoholic beverages, not including fruit, nut or vegetable juices of heading 2009: Other: Other: Other, containing by weight of fat obtained from the products of headings 0401 to 0404: 2 % or more</t>
  </si>
  <si>
    <t>CHAPTER 22 - BEVERAGES, SPIRITS AND VINEGAR: Waters, including mineral waters and aerated waters, containing added sugar or other sweetening matter or flavoured, and other non-alcoholic beverages, not including fruit or vegetable juices of heading 2009: Other: Other: Other, containing by weight of fat obtained from the products of headings 0401 to 0404: 2 % or more</t>
  </si>
  <si>
    <t>Of cotton seeds</t>
  </si>
  <si>
    <t>CHAPTER 23 - RESIDUES AND WASTE FROM THE FOOD INDUSTRIES; PREPARED ANIMAL FODDER: Oil-cake and other solid residues, whether or not ground or in the form of pellets, resulting from the extraction of vegetable or microbial fats or oils, other than those of heading 2304 or 2305: Of cotton seeds</t>
  </si>
  <si>
    <t>CHAPTER 23 - RESIDUES AND WASTE FROM THE FOOD INDUSTRIES; PREPARED ANIMAL FODDER: Oilcake and other solid residues, whether or not ground or in the form of pellets, resulting from the extraction of vegetable fats or oils, other than those of heading 2304 or 2305: Of cotton seeds</t>
  </si>
  <si>
    <t>Of linseed</t>
  </si>
  <si>
    <t>CHAPTER 23 - RESIDUES AND WASTE FROM THE FOOD INDUSTRIES; PREPARED ANIMAL FODDER: Oil-cake and other solid residues, whether or not ground or in the form of pellets, resulting from the extraction of vegetable or microbial fats or oils, other than those of heading 2304 or 2305: Of linseed</t>
  </si>
  <si>
    <t>CHAPTER 23 - RESIDUES AND WASTE FROM THE FOOD INDUSTRIES; PREPARED ANIMAL FODDER: Oilcake and other solid residues, whether or not ground or in the form of pellets, resulting from the extraction of vegetable fats or oils, other than those of heading 2304 or 2305: Of linseed</t>
  </si>
  <si>
    <t>Of sunflower seeds</t>
  </si>
  <si>
    <t>CHAPTER 23 - RESIDUES AND WASTE FROM THE FOOD INDUSTRIES; PREPARED ANIMAL FODDER: Oil-cake and other solid residues, whether or not ground or in the form of pellets, resulting from the extraction of vegetable or microbial fats or oils, other than those of heading 2304 or 2305: Of sunflower seeds</t>
  </si>
  <si>
    <t>CHAPTER 23 - RESIDUES AND WASTE FROM THE FOOD INDUSTRIES; PREPARED ANIMAL FODDER: Oilcake and other solid residues, whether or not ground or in the form of pellets, resulting from the extraction of vegetable fats or oils, other than those of heading 2304 or 2305: Of sunflower seeds</t>
  </si>
  <si>
    <t>Of low erucic acid rape or colza seeds</t>
  </si>
  <si>
    <t>CHAPTER 23 - RESIDUES AND WASTE FROM THE FOOD INDUSTRIES; PREPARED ANIMAL FODDER: Oil-cake and other solid residues, whether or not ground or in the form of pellets, resulting from the extraction of vegetable or microbial fats or oils, other than those of heading 2304 or 2305: Of rape or colza seeds: Of low erucic acid rape or colza seeds</t>
  </si>
  <si>
    <t>CHAPTER 23 - RESIDUES AND WASTE FROM THE FOOD INDUSTRIES; PREPARED ANIMAL FODDER: Oilcake and other solid residues, whether or not ground or in the form of pellets, resulting from the extraction of vegetable fats or oils, other than those of heading 2304 or 2305: Of rape or colza seeds: Of low erucic acid rape or colza seeds</t>
  </si>
  <si>
    <t>CHAPTER 23 - RESIDUES AND WASTE FROM THE FOOD INDUSTRIES; PREPARED ANIMAL FODDER: Oil-cake and other solid residues, whether or not ground or in the form of pellets, resulting from the extraction of vegetable or microbial fats or oils, other than those of heading 2304 or 2305: Of rape or colza seeds: Other</t>
  </si>
  <si>
    <t>CHAPTER 23 - RESIDUES AND WASTE FROM THE FOOD INDUSTRIES; PREPARED ANIMAL FODDER: Oilcake and other solid residues, whether or not ground or in the form of pellets, resulting from the extraction of vegetable fats or oils, other than those of heading 2304 or 2305: Of rape or colza seeds: Other</t>
  </si>
  <si>
    <t>Of coconut or copra</t>
  </si>
  <si>
    <t>CHAPTER 23 - RESIDUES AND WASTE FROM THE FOOD INDUSTRIES; PREPARED ANIMAL FODDER: Oil-cake and other solid residues, whether or not ground or in the form of pellets, resulting from the extraction of vegetable or microbial fats or oils, other than those of heading 2304 or 2305: Of coconut or copra</t>
  </si>
  <si>
    <t>CHAPTER 23 - RESIDUES AND WASTE FROM THE FOOD INDUSTRIES; PREPARED ANIMAL FODDER: Oilcake and other solid residues, whether or not ground or in the form of pellets, resulting from the extraction of vegetable fats or oils, other than those of heading 2304 or 2305: Of coconut or copra</t>
  </si>
  <si>
    <t>Of palm nuts or kernels</t>
  </si>
  <si>
    <t>CHAPTER 23 - RESIDUES AND WASTE FROM THE FOOD INDUSTRIES; PREPARED ANIMAL FODDER: Oil-cake and other solid residues, whether or not ground or in the form of pellets, resulting from the extraction of vegetable or microbial fats or oils, other than those of heading 2304 or 2305: Of palm nuts or kernels</t>
  </si>
  <si>
    <t>CHAPTER 23 - RESIDUES AND WASTE FROM THE FOOD INDUSTRIES; PREPARED ANIMAL FODDER: Oilcake and other solid residues, whether or not ground or in the form of pellets, resulting from the extraction of vegetable fats or oils, other than those of heading 2304 or 2305: Of palm nuts or kernels</t>
  </si>
  <si>
    <t>Of maize (corn) germ</t>
  </si>
  <si>
    <t>CHAPTER 23 - RESIDUES AND WASTE FROM THE FOOD INDUSTRIES; PREPARED ANIMAL FODDER: Oil-cake and other solid residues, whether or not ground or in the form of pellets, resulting from the extraction of vegetable or microbial fats or oils, other than those of heading 2304 or 2305: Other: Of maize (corn) germ</t>
  </si>
  <si>
    <t>CHAPTER 23 - RESIDUES AND WASTE FROM THE FOOD INDUSTRIES; PREPARED ANIMAL FODDER: Oilcake and other solid residues, whether or not ground or in the form of pellets, resulting from the extraction of vegetable fats or oils, other than those of heading 2304 or 2305: Other: Of maize (corn) germ</t>
  </si>
  <si>
    <t>Containing 3 % or less by weight of olive oil</t>
  </si>
  <si>
    <t>CHAPTER 23 - RESIDUES AND WASTE FROM THE FOOD INDUSTRIES; PREPARED ANIMAL FODDER: Oil-cake and other solid residues, whether or not ground or in the form of pellets, resulting from the extraction of vegetable or microbial fats or oils, other than those of heading 2304 or 2305: Other: Other: Oilcake and other residues resulting from the extraction of olive oil: Containing 3 % or less by weight of olive oil</t>
  </si>
  <si>
    <t>CHAPTER 23 - RESIDUES AND WASTE FROM THE FOOD INDUSTRIES; PREPARED ANIMAL FODDER: Oilcake and other solid residues, whether or not ground or in the form of pellets, resulting from the extraction of vegetable fats or oils, other than those of heading 2304 or 2305: Other: Other: Oilcake and other residues resulting from the extraction of olive oil: Containing 3 % or less by weight of olive oil</t>
  </si>
  <si>
    <t>Containing more than 3 % by weight of olive oil</t>
  </si>
  <si>
    <t>CHAPTER 23 - RESIDUES AND WASTE FROM THE FOOD INDUSTRIES; PREPARED ANIMAL FODDER: Oil-cake and other solid residues, whether or not ground or in the form of pellets, resulting from the extraction of vegetable or microbial fats or oils, other than those of heading 2304 or 2305: Other: Other: Oilcake and other residues resulting from the extraction of olive oil: Containing more than 3 % by weight of olive oil</t>
  </si>
  <si>
    <t>CHAPTER 23 - RESIDUES AND WASTE FROM THE FOOD INDUSTRIES; PREPARED ANIMAL FODDER: Oilcake and other solid residues, whether or not ground or in the form of pellets, resulting from the extraction of vegetable fats or oils, other than those of heading 2304 or 2305: Other: Other: Oilcake and other residues resulting from the extraction of olive oil: Containing more than 3 % by weight of olive oil</t>
  </si>
  <si>
    <t>CHAPTER 23 - RESIDUES AND WASTE FROM THE FOOD INDUSTRIES; PREPARED ANIMAL FODDER: Oil-cake and other solid residues, whether or not ground or in the form of pellets, resulting from the extraction of vegetable or microbial fats or oils, other than those of heading 2304 or 2305: Other: Other: Other</t>
  </si>
  <si>
    <t>CHAPTER 23 - RESIDUES AND WASTE FROM THE FOOD INDUSTRIES; PREPARED ANIMAL FODDER: Oilcake and other solid residues, whether or not ground or in the form of pellets, resulting from the extraction of vegetable fats or oils, other than those of heading 2304 or 2305: Other: Other: Other</t>
  </si>
  <si>
    <t>Light air-cured tobacco</t>
  </si>
  <si>
    <t>CHAPTER 24 - TOBACCO AND MANUFACTURED TOBACCO SUBSTITUTES; PRODUCTS, WHETHER OR NOT CONTAINING NICOTINE, INTENDED FOR INHALATION WITHOUT COMBUSTION; OTHER NICOTINE CONTAINING PRODUCTS INTENDED FOR THE INTAKE OF NICOTINE INTO THE HUMAN BODY: Unmanufactured tobacco; tobacco refuse: Tobacco, not stemmed/stripped: Light air-cured tobacco</t>
  </si>
  <si>
    <t>CHAPTER 24 - TOBACCO AND MANUFACTURED TOBACCO SUBSTITUTES: Unmanufactured tobacco; tobacco refuse: Tobacco, not stemmed/stripped: Light air-cured tobacco</t>
  </si>
  <si>
    <t>Sun-cured Oriental type tobacco</t>
  </si>
  <si>
    <t>CHAPTER 24 - TOBACCO AND MANUFACTURED TOBACCO SUBSTITUTES; PRODUCTS, WHETHER OR NOT CONTAINING NICOTINE, INTENDED FOR INHALATION WITHOUT COMBUSTION; OTHER NICOTINE CONTAINING PRODUCTS INTENDED FOR THE INTAKE OF NICOTINE INTO THE HUMAN BODY: Unmanufactured tobacco; tobacco refuse: Tobacco, not stemmed/stripped: Sun-cured Oriental type tobacco</t>
  </si>
  <si>
    <t>CHAPTER 24 - TOBACCO AND MANUFACTURED TOBACCO SUBSTITUTES: Unmanufactured tobacco; tobacco refuse: Tobacco, not stemmed/stripped: Sun-cured Oriental type tobacco</t>
  </si>
  <si>
    <t>Dark air-cured tobacco</t>
  </si>
  <si>
    <t>CHAPTER 24 - TOBACCO AND MANUFACTURED TOBACCO SUBSTITUTES; PRODUCTS, WHETHER OR NOT CONTAINING NICOTINE, INTENDED FOR INHALATION WITHOUT COMBUSTION; OTHER NICOTINE CONTAINING PRODUCTS INTENDED FOR THE INTAKE OF NICOTINE INTO THE HUMAN BODY: Unmanufactured tobacco; tobacco refuse: Tobacco, not stemmed/stripped: Dark air-cured tobacco</t>
  </si>
  <si>
    <t>CHAPTER 24 - TOBACCO AND MANUFACTURED TOBACCO SUBSTITUTES: Unmanufactured tobacco; tobacco refuse: Tobacco, not stemmed/stripped: Dark air-cured tobacco</t>
  </si>
  <si>
    <t>Flue-cured tobacco</t>
  </si>
  <si>
    <t>CHAPTER 24 - TOBACCO AND MANUFACTURED TOBACCO SUBSTITUTES; PRODUCTS, WHETHER OR NOT CONTAINING NICOTINE, INTENDED FOR INHALATION WITHOUT COMBUSTION; OTHER NICOTINE CONTAINING PRODUCTS INTENDED FOR THE INTAKE OF NICOTINE INTO THE HUMAN BODY: Unmanufactured tobacco; tobacco refuse: Tobacco, not stemmed/stripped: Flue-cured tobacco</t>
  </si>
  <si>
    <t>CHAPTER 24 - TOBACCO AND MANUFACTURED TOBACCO SUBSTITUTES: Unmanufactured tobacco; tobacco refuse: Tobacco, not stemmed/stripped: Flue-cured tobacco</t>
  </si>
  <si>
    <t>CHAPTER 24 - TOBACCO AND MANUFACTURED TOBACCO SUBSTITUTES; PRODUCTS, WHETHER OR NOT CONTAINING NICOTINE, INTENDED FOR INHALATION WITHOUT COMBUSTION; OTHER NICOTINE CONTAINING PRODUCTS INTENDED FOR THE INTAKE OF NICOTINE INTO THE HUMAN BODY: Unmanufactured tobacco; tobacco refuse: Tobacco, not stemmed/stripped: Other</t>
  </si>
  <si>
    <t>CHAPTER 24 - TOBACCO AND MANUFACTURED TOBACCO SUBSTITUTES: Unmanufactured tobacco; tobacco refuse: Tobacco, not stemmed/stripped: Other</t>
  </si>
  <si>
    <t>CHAPTER 24 - TOBACCO AND MANUFACTURED TOBACCO SUBSTITUTES; PRODUCTS, WHETHER OR NOT CONTAINING NICOTINE, INTENDED FOR INHALATION WITHOUT COMBUSTION; OTHER NICOTINE CONTAINING PRODUCTS INTENDED FOR THE INTAKE OF NICOTINE INTO THE HUMAN BODY: Unmanufactured tobacco; tobacco refuse: Tobacco, partly or wholly stemmed/stripped: Light air-cured tobacco</t>
  </si>
  <si>
    <t>CHAPTER 24 - TOBACCO AND MANUFACTURED TOBACCO SUBSTITUTES: Unmanufactured tobacco; tobacco refuse: Tobacco, partly or wholly stemmed/stripped: Light air-cured tobacco</t>
  </si>
  <si>
    <t>CHAPTER 24 - TOBACCO AND MANUFACTURED TOBACCO SUBSTITUTES; PRODUCTS, WHETHER OR NOT CONTAINING NICOTINE, INTENDED FOR INHALATION WITHOUT COMBUSTION; OTHER NICOTINE CONTAINING PRODUCTS INTENDED FOR THE INTAKE OF NICOTINE INTO THE HUMAN BODY: Unmanufactured tobacco; tobacco refuse: Tobacco, partly or wholly stemmed/stripped: Sun-cured Oriental type tobacco</t>
  </si>
  <si>
    <t>CHAPTER 24 - TOBACCO AND MANUFACTURED TOBACCO SUBSTITUTES: Unmanufactured tobacco; tobacco refuse: Tobacco, partly or wholly stemmed/stripped: Sun-cured Oriental type tobacco</t>
  </si>
  <si>
    <t>CHAPTER 24 - TOBACCO AND MANUFACTURED TOBACCO SUBSTITUTES; PRODUCTS, WHETHER OR NOT CONTAINING NICOTINE, INTENDED FOR INHALATION WITHOUT COMBUSTION; OTHER NICOTINE CONTAINING PRODUCTS INTENDED FOR THE INTAKE OF NICOTINE INTO THE HUMAN BODY: Unmanufactured tobacco; tobacco refuse: Tobacco, partly or wholly stemmed/stripped: Dark air-cured tobacco</t>
  </si>
  <si>
    <t>CHAPTER 24 - TOBACCO AND MANUFACTURED TOBACCO SUBSTITUTES: Unmanufactured tobacco; tobacco refuse: Tobacco, partly or wholly stemmed/stripped: Dark air-cured tobacco</t>
  </si>
  <si>
    <t>CHAPTER 24 - TOBACCO AND MANUFACTURED TOBACCO SUBSTITUTES; PRODUCTS, WHETHER OR NOT CONTAINING NICOTINE, INTENDED FOR INHALATION WITHOUT COMBUSTION; OTHER NICOTINE CONTAINING PRODUCTS INTENDED FOR THE INTAKE OF NICOTINE INTO THE HUMAN BODY: Unmanufactured tobacco; tobacco refuse: Tobacco, partly or wholly stemmed/stripped: Flue-cured tobacco</t>
  </si>
  <si>
    <t>CHAPTER 24 - TOBACCO AND MANUFACTURED TOBACCO SUBSTITUTES: Unmanufactured tobacco; tobacco refuse: Tobacco, partly or wholly stemmed/stripped: Flue-cured tobacco</t>
  </si>
  <si>
    <t>CHAPTER 24 - TOBACCO AND MANUFACTURED TOBACCO SUBSTITUTES; PRODUCTS, WHETHER OR NOT CONTAINING NICOTINE, INTENDED FOR INHALATION WITHOUT COMBUSTION; OTHER NICOTINE CONTAINING PRODUCTS INTENDED FOR THE INTAKE OF NICOTINE INTO THE HUMAN BODY: Unmanufactured tobacco; tobacco refuse: Tobacco, partly or wholly stemmed/stripped: Other</t>
  </si>
  <si>
    <t>CHAPTER 24 - TOBACCO AND MANUFACTURED TOBACCO SUBSTITUTES: Unmanufactured tobacco; tobacco refuse: Tobacco, partly or wholly stemmed/stripped: Other</t>
  </si>
  <si>
    <t>Tobacco refuse</t>
  </si>
  <si>
    <t>CHAPTER 24 - TOBACCO AND MANUFACTURED TOBACCO SUBSTITUTES; PRODUCTS, WHETHER OR NOT CONTAINING NICOTINE, INTENDED FOR INHALATION WITHOUT COMBUSTION; OTHER NICOTINE CONTAINING PRODUCTS INTENDED FOR THE INTAKE OF NICOTINE INTO THE HUMAN BODY: Unmanufactured tobacco; tobacco refuse: Tobacco refuse</t>
  </si>
  <si>
    <t>CHAPTER 24 - TOBACCO AND MANUFACTURED TOBACCO SUBSTITUTES: Unmanufactured tobacco; tobacco refuse: Tobacco refuse</t>
  </si>
  <si>
    <t>Cigars, cheroots and cigarillos, containing tobacco</t>
  </si>
  <si>
    <t>CHAPTER 24 - TOBACCO AND MANUFACTURED TOBACCO SUBSTITUTES; PRODUCTS, WHETHER OR NOT CONTAINING NICOTINE, INTENDED FOR INHALATION WITHOUT COMBUSTION; OTHER NICOTINE CONTAINING PRODUCTS INTENDED FOR THE INTAKE OF NICOTINE INTO THE HUMAN BODY: Cigars, cheroots, cigarillos and cigarettes, of tobacco or of tobacco substitutes: Cigars, cheroots and cigarillos, containing tobacco</t>
  </si>
  <si>
    <t>CHAPTER 24 - TOBACCO AND MANUFACTURED TOBACCO SUBSTITUTES: Cigars, cheroots, cigarillos and cigarettes, of tobacco or of tobacco substitutes: Cigars, cheroots and cigarillos, containing tobacco</t>
  </si>
  <si>
    <t>Containing cloves</t>
  </si>
  <si>
    <t>CHAPTER 24 - TOBACCO AND MANUFACTURED TOBACCO SUBSTITUTES; PRODUCTS, WHETHER OR NOT CONTAINING NICOTINE, INTENDED FOR INHALATION WITHOUT COMBUSTION; OTHER NICOTINE CONTAINING PRODUCTS INTENDED FOR THE INTAKE OF NICOTINE INTO THE HUMAN BODY: Cigars, cheroots, cigarillos and cigarettes, of tobacco or of tobacco substitutes: Cigarettes containing tobacco: Containing cloves</t>
  </si>
  <si>
    <t>CHAPTER 24 - TOBACCO AND MANUFACTURED TOBACCO SUBSTITUTES: Cigars, cheroots, cigarillos and cigarettes, of tobacco or of tobacco substitutes: Cigarettes containing tobacco: Containing cloves</t>
  </si>
  <si>
    <t>CHAPTER 24 - TOBACCO AND MANUFACTURED TOBACCO SUBSTITUTES; PRODUCTS, WHETHER OR NOT CONTAINING NICOTINE, INTENDED FOR INHALATION WITHOUT COMBUSTION; OTHER NICOTINE CONTAINING PRODUCTS INTENDED FOR THE INTAKE OF NICOTINE INTO THE HUMAN BODY: Cigars, cheroots, cigarillos and cigarettes, of tobacco or of tobacco substitutes: Cigarettes containing tobacco: Other</t>
  </si>
  <si>
    <t>CHAPTER 24 - TOBACCO AND MANUFACTURED TOBACCO SUBSTITUTES: Cigars, cheroots, cigarillos and cigarettes, of tobacco or of tobacco substitutes: Cigarettes containing tobacco: Other</t>
  </si>
  <si>
    <t>CHAPTER 24 - TOBACCO AND MANUFACTURED TOBACCO SUBSTITUTES; PRODUCTS, WHETHER OR NOT CONTAINING NICOTINE, INTENDED FOR INHALATION WITHOUT COMBUSTION; OTHER NICOTINE CONTAINING PRODUCTS INTENDED FOR THE INTAKE OF NICOTINE INTO THE HUMAN BODY: Cigars, cheroots, cigarillos and cigarettes, of tobacco or of tobacco substitutes: Other</t>
  </si>
  <si>
    <t>CHAPTER 24 - TOBACCO AND MANUFACTURED TOBACCO SUBSTITUTES: Cigars, cheroots, cigarillos and cigarettes, of tobacco or of tobacco substitutes: Other</t>
  </si>
  <si>
    <t>Water-pipe tobacco specified in subheading note 1 to this chapter</t>
  </si>
  <si>
    <t>CHAPTER 24 - TOBACCO AND MANUFACTURED TOBACCO SUBSTITUTES; PRODUCTS, WHETHER OR NOT CONTAINING NICOTINE, INTENDED FOR INHALATION WITHOUT COMBUSTION; OTHER NICOTINE CONTAINING PRODUCTS INTENDED FOR THE INTAKE OF NICOTINE INTO THE HUMAN BODY: Other manufactured tobacco and manufactured tobacco substitutes; ‘homogenised’ or ‘reconstituted’ tobacco; tobacco extracts and essences: Smoking tobacco, whether or not containing tobacco substitutes in any proportion: Water-pipe tobacco specified in subheading note 1 to this chapter</t>
  </si>
  <si>
    <t>CHAPTER 24 - TOBACCO AND MANUFACTURED TOBACCO SUBSTITUTES: Other manufactured tobacco and manufactured tobacco substitutes; ‘homogenised’ or ‘reconstituted’ tobacco; tobacco extracts and essences: Smoking tobacco, whether or not containing tobacco substitutes in any proportion: Water-pipe tobacco specified in subheading note 1 to this chapter</t>
  </si>
  <si>
    <t>In immediate packings of a net content not exceeding 500 g</t>
  </si>
  <si>
    <t>CHAPTER 24 - TOBACCO AND MANUFACTURED TOBACCO SUBSTITUTES; PRODUCTS, WHETHER OR NOT CONTAINING NICOTINE, INTENDED FOR INHALATION WITHOUT COMBUSTION; OTHER NICOTINE CONTAINING PRODUCTS INTENDED FOR THE INTAKE OF NICOTINE INTO THE HUMAN BODY: Other manufactured tobacco and manufactured tobacco substitutes; ‘homogenised’ or ‘reconstituted’ tobacco; tobacco extracts and essences: Smoking tobacco, whether or not containing tobacco substitutes in any proportion: Other: In immediate packings of a net content not exceeding 500 g</t>
  </si>
  <si>
    <t>CHAPTER 24 - TOBACCO AND MANUFACTURED TOBACCO SUBSTITUTES: Other manufactured tobacco and manufactured tobacco substitutes; ‘homogenised’ or ‘reconstituted’ tobacco; tobacco extracts and essences: Smoking tobacco, whether or not containing tobacco substitutes in any proportion: Other: In immediate packings of a net content not exceeding 500 g</t>
  </si>
  <si>
    <t>CHAPTER 24 - TOBACCO AND MANUFACTURED TOBACCO SUBSTITUTES; PRODUCTS, WHETHER OR NOT CONTAINING NICOTINE, INTENDED FOR INHALATION WITHOUT COMBUSTION; OTHER NICOTINE CONTAINING PRODUCTS INTENDED FOR THE INTAKE OF NICOTINE INTO THE HUMAN BODY: Other manufactured tobacco and manufactured tobacco substitutes; ‘homogenised’ or ‘reconstituted’ tobacco; tobacco extracts and essences: Smoking tobacco, whether or not containing tobacco substitutes in any proportion: Other: Other</t>
  </si>
  <si>
    <t>CHAPTER 24 - TOBACCO AND MANUFACTURED TOBACCO SUBSTITUTES: Other manufactured tobacco and manufactured tobacco substitutes; ‘homogenised’ or ‘reconstituted’ tobacco; tobacco extracts and essences: Smoking tobacco, whether or not containing tobacco substitutes in any proportion: Other: Other</t>
  </si>
  <si>
    <t>‘Homogenised’ or ‘reconstituted’ tobacco</t>
  </si>
  <si>
    <t>CHAPTER 24 - TOBACCO AND MANUFACTURED TOBACCO SUBSTITUTES; PRODUCTS, WHETHER OR NOT CONTAINING NICOTINE, INTENDED FOR INHALATION WITHOUT COMBUSTION; OTHER NICOTINE CONTAINING PRODUCTS INTENDED FOR THE INTAKE OF NICOTINE INTO THE HUMAN BODY: Other manufactured tobacco and manufactured tobacco substitutes; ‘homogenised’ or ‘reconstituted’ tobacco; tobacco extracts and essences: Other: ‘Homogenised’ or ‘reconstituted’ tobacco</t>
  </si>
  <si>
    <t>CHAPTER 24 - TOBACCO AND MANUFACTURED TOBACCO SUBSTITUTES: Other manufactured tobacco and manufactured tobacco substitutes; ‘homogenised’ or ‘reconstituted’ tobacco; tobacco extracts and essences: Other: ‘Homogenised’ or ‘reconstituted’ tobacco</t>
  </si>
  <si>
    <t>Chewing tobacco and snuff (nasal tobacco)</t>
  </si>
  <si>
    <t>CHAPTER 24 - TOBACCO AND MANUFACTURED TOBACCO SUBSTITUTES; PRODUCTS, WHETHER OR NOT CONTAINING NICOTINE, INTENDED FOR INHALATION WITHOUT COMBUSTION; OTHER NICOTINE CONTAINING PRODUCTS INTENDED FOR THE INTAKE OF NICOTINE INTO THE HUMAN BODY: Other manufactured tobacco and manufactured tobacco substitutes; ‘homogenised’ or ‘reconstituted’ tobacco; tobacco extracts and essences: Other: Other: Chewing tobacco and snuff (nasal tobacco)</t>
  </si>
  <si>
    <t>CHAPTER 24 - TOBACCO AND MANUFACTURED TOBACCO SUBSTITUTES: Other manufactured tobacco and manufactured tobacco substitutes; ‘homogenised’ or ‘reconstituted’ tobacco; tobacco extracts and essences: Other: Other: Chewing tobacco and snuff (nasal tobacco)</t>
  </si>
  <si>
    <t>CHAPTER 24 - TOBACCO AND MANUFACTURED TOBACCO SUBSTITUTES; PRODUCTS, WHETHER OR NOT CONTAINING NICOTINE, INTENDED FOR INHALATION WITHOUT COMBUSTION; OTHER NICOTINE CONTAINING PRODUCTS INTENDED FOR THE INTAKE OF NICOTINE INTO THE HUMAN BODY: Other manufactured tobacco and manufactured tobacco substitutes; ‘homogenised’ or ‘reconstituted’ tobacco; tobacco extracts and essences: Other: Other: Other</t>
  </si>
  <si>
    <t>CHAPTER 24 - TOBACCO AND MANUFACTURED TOBACCO SUBSTITUTES: Other manufactured tobacco and manufactured tobacco substitutes; ‘homogenised’ or ‘reconstituted’ tobacco; tobacco extracts and essences: Other: Other: Other</t>
  </si>
  <si>
    <t>Dolomite, not calcined or sintered</t>
  </si>
  <si>
    <t>CHAPTER 25 - SALT; SULPHUR; EARTHS AND STONE; PLASTERING MATERIALS, LIME AND CEMENT: Dolomite, whether or not calcined or sintered, including dolomite roughly trimmed or merely cut, by sawing or otherwise, into blocks or slabs of a rectangular (including square) shape: Dolomite, not calcined or sintered</t>
  </si>
  <si>
    <t>CHAPTER 25 - SALT; SULPHUR; EARTHS AND STONE; PLASTERING MATERIALS, LIME AND CEMENT: Dolomite, whether or not calcined or sintered, including dolomite roughly trimmed or merely cut, by sawing or otherwise, into blocks or slabs of a rectangular (including square) shape; dolomite ramming mix: Dolomite, not calcined or sintered</t>
  </si>
  <si>
    <t>Calcined or sintered dolomite</t>
  </si>
  <si>
    <t>CHAPTER 25 - SALT; SULPHUR; EARTHS AND STONE; PLASTERING MATERIALS, LIME AND CEMENT: Dolomite, whether or not calcined or sintered, including dolomite roughly trimmed or merely cut, by sawing or otherwise, into blocks or slabs of a rectangular (including square) shape: Calcined or sintered dolomite</t>
  </si>
  <si>
    <t>CHAPTER 25 - SALT; SULPHUR; EARTHS AND STONE; PLASTERING MATERIALS, LIME AND CEMENT: Dolomite, whether or not calcined or sintered, including dolomite roughly trimmed or merely cut, by sawing or otherwise, into blocks or slabs of a rectangular (including square) shape; dolomite ramming mix: Calcined or sintered dolomite</t>
  </si>
  <si>
    <t>Chlorodifluoromethane (HCFC-22)</t>
  </si>
  <si>
    <t>Chlorodifluoromethane</t>
  </si>
  <si>
    <t>CHAPTER 29 - ORGANIC CHEMICALS: Halogenated derivatives of hydrocarbons: Halogenated derivatives of acyclic hydrocarbons containing two or more different halogens: Chlorodifluoromethane (HCFC-22)</t>
  </si>
  <si>
    <t>CHAPTER 29 - ORGANIC CHEMICALS: Halogenated derivatives of hydrocarbons: Halogenated derivatives of acyclic hydrocarbons containing two or more different halogens: Chlorodifluoromethane</t>
  </si>
  <si>
    <t>Dichlorotrifluoroethanes (HCFC-123)</t>
  </si>
  <si>
    <t>Dichlorotrifluoroethanes</t>
  </si>
  <si>
    <t>CHAPTER 29 - ORGANIC CHEMICALS: Halogenated derivatives of hydrocarbons: Halogenated derivatives of acyclic hydrocarbons containing two or more different halogens: Dichlorotrifluoroethanes (HCFC-123)</t>
  </si>
  <si>
    <t>CHAPTER 29 - ORGANIC CHEMICALS: Halogenated derivatives of hydrocarbons: Halogenated derivatives of acyclic hydrocarbons containing two or more different halogens: Dichlorotrifluoroethanes</t>
  </si>
  <si>
    <t>Dichlorofluoroethanes (HCFC-141, 141b)</t>
  </si>
  <si>
    <t>Dichlorofluoroethanes</t>
  </si>
  <si>
    <t>CHAPTER 29 - ORGANIC CHEMICALS: Halogenated derivatives of hydrocarbons: Halogenated derivatives of acyclic hydrocarbons containing two or more different halogens: Dichlorofluoroethanes (HCFC-141, 141b)</t>
  </si>
  <si>
    <t>CHAPTER 29 - ORGANIC CHEMICALS: Halogenated derivatives of hydrocarbons: Halogenated derivatives of acyclic hydrocarbons containing two or more different halogens: Dichlorofluoroethanes</t>
  </si>
  <si>
    <t>Chlorodifluoroethanes (HCFC-142, 142b)</t>
  </si>
  <si>
    <t>Chlorodifluoroethanes</t>
  </si>
  <si>
    <t>CHAPTER 29 - ORGANIC CHEMICALS: Halogenated derivatives of hydrocarbons: Halogenated derivatives of acyclic hydrocarbons containing two or more different halogens: Chlorodifluoroethanes (HCFC-142, 142b)</t>
  </si>
  <si>
    <t>CHAPTER 29 - ORGANIC CHEMICALS: Halogenated derivatives of hydrocarbons: Halogenated derivatives of acyclic hydrocarbons containing two or more different halogens: Chlorodifluoroethanes</t>
  </si>
  <si>
    <t>Dichloropentafluoropropanes (HCFC-225, 225ca, 225cb)</t>
  </si>
  <si>
    <t>Dichloropentafluoropropanes</t>
  </si>
  <si>
    <t>CHAPTER 29 - ORGANIC CHEMICALS: Halogenated derivatives of hydrocarbons: Halogenated derivatives of acyclic hydrocarbons containing two or more different halogens: Dichloropentafluoropropanes (HCFC-225, 225ca, 225cb)</t>
  </si>
  <si>
    <t>CHAPTER 29 - ORGANIC CHEMICALS: Halogenated derivatives of hydrocarbons: Halogenated derivatives of acyclic hydrocarbons containing two or more different halogens: Dichloropentafluoropropanes</t>
  </si>
  <si>
    <t>Bromochlorodifluoromethane (Halon-1211)</t>
  </si>
  <si>
    <t>Bromochlorodifluoromethane</t>
  </si>
  <si>
    <t>CHAPTER 29 - ORGANIC CHEMICALS: Halogenated derivatives of hydrocarbons: Halogenated derivatives of acyclic hydrocarbons containing two or more different halogens: Bromochlorodifluoromethane (Halon-1211), bromotrifluoromethane (Halon-1301) and dibromotetrafluoroethanes (Halon-2402): Bromochlorodifluoromethane (Halon-1211)</t>
  </si>
  <si>
    <t>CHAPTER 29 - ORGANIC CHEMICALS: Halogenated derivatives of hydrocarbons: Halogenated derivatives of acyclic hydrocarbons containing two or more different halogens: Bromochlorodifluoromethane, bromotrifluoromethane and dibromotetrafluoroethanes: Bromochlorodifluoromethane</t>
  </si>
  <si>
    <t>Bromotrifluoromethane (Halon-1301)</t>
  </si>
  <si>
    <t>Bromotrifluoromethane</t>
  </si>
  <si>
    <t>CHAPTER 29 - ORGANIC CHEMICALS: Halogenated derivatives of hydrocarbons: Halogenated derivatives of acyclic hydrocarbons containing two or more different halogens: Bromochlorodifluoromethane (Halon-1211), bromotrifluoromethane (Halon-1301) and dibromotetrafluoroethanes (Halon-2402): Bromotrifluoromethane (Halon-1301)</t>
  </si>
  <si>
    <t>CHAPTER 29 - ORGANIC CHEMICALS: Halogenated derivatives of hydrocarbons: Halogenated derivatives of acyclic hydrocarbons containing two or more different halogens: Bromochlorodifluoromethane, bromotrifluoromethane and dibromotetrafluoroethanes: Bromotrifluoromethane</t>
  </si>
  <si>
    <t>Dibromotetrafluoroethanes (Halon-2402)</t>
  </si>
  <si>
    <t>Dibromotetrafluoroethanes</t>
  </si>
  <si>
    <t>CHAPTER 29 - ORGANIC CHEMICALS: Halogenated derivatives of hydrocarbons: Halogenated derivatives of acyclic hydrocarbons containing two or more different halogens: Bromochlorodifluoromethane (Halon-1211), bromotrifluoromethane (Halon-1301) and dibromotetrafluoroethanes (Halon-2402): Dibromotetrafluoroethanes (Halon-2402)</t>
  </si>
  <si>
    <t>CHAPTER 29 - ORGANIC CHEMICALS: Halogenated derivatives of hydrocarbons: Halogenated derivatives of acyclic hydrocarbons containing two or more different halogens: Bromochlorodifluoromethane, bromotrifluoromethane and dibromotetrafluoroethanes: Dibromotetrafluoroethanes</t>
  </si>
  <si>
    <t>Diethyl ether</t>
  </si>
  <si>
    <t>CHAPTER 29 - ORGANIC CHEMICALS: Ethers, ether-alcohols, ether-phenols, ether-alcohol-phenols, alcohol peroxides, ether peroxides, acetal and hemiacetal peroxides, ketone peroxides (whether or not chemically defined), and their halogenated, sulphonated, nitrated or nitrosated derivatives: Acyclic ethers and their halogenated, sulphonated, nitrated or nitrosated derivatives: Diethyl ether</t>
  </si>
  <si>
    <t>CHAPTER 29 - ORGANIC CHEMICALS: Ethers, ether-alcohols, ether-phenols, ether-alcohol-phenols, alcohol peroxides, ether peroxides, ketone peroxides (whether or not chemically defined), and their halogenated, sulphonated, nitrated or nitrosated derivatives: Acyclic ethers and their halogenated, sulphonated, nitrated or nitrosated derivatives: Diethyl ether</t>
  </si>
  <si>
    <t>Tert-butyl ethyl ether (ethyl-tertio-butyl-ether, ETBE)</t>
  </si>
  <si>
    <t>CHAPTER 29 - ORGANIC CHEMICALS: Ethers, ether-alcohols, ether-phenols, ether-alcohol-phenols, alcohol peroxides, ether peroxides, acetal and hemiacetal peroxides, ketone peroxides (whether or not chemically defined), and their halogenated, sulphonated, nitrated or nitrosated derivatives: Acyclic ethers and their halogenated, sulphonated, nitrated or nitrosated derivatives: Other: Tert-butyl ethyl ether (ethyl-tertio-butyl-ether, ETBE)</t>
  </si>
  <si>
    <t>CHAPTER 29 - ORGANIC CHEMICALS: Ethers, ether-alcohols, ether-phenols, ether-alcohol-phenols, alcohol peroxides, ether peroxides, ketone peroxides (whether or not chemically defined), and their halogenated, sulphonated, nitrated or nitrosated derivatives: Acyclic ethers and their halogenated, sulphonated, nitrated or nitrosated derivatives: Other: Tert-butyl ethyl ether (ethyl-tertio-butyl-ether, ETBE)</t>
  </si>
  <si>
    <t>CHAPTER 29 - ORGANIC CHEMICALS: Ethers, ether-alcohols, ether-phenols, ether-alcohol-phenols, alcohol peroxides, ether peroxides, acetal and hemiacetal peroxides, ketone peroxides (whether or not chemically defined), and their halogenated, sulphonated, nitrated or nitrosated derivatives: Acyclic ethers and their halogenated, sulphonated, nitrated or nitrosated derivatives: Other: Other</t>
  </si>
  <si>
    <t>CHAPTER 29 - ORGANIC CHEMICALS: Ethers, ether-alcohols, ether-phenols, ether-alcohol-phenols, alcohol peroxides, ether peroxides, ketone peroxides (whether or not chemically defined), and their halogenated, sulphonated, nitrated or nitrosated derivatives: Acyclic ethers and their halogenated, sulphonated, nitrated or nitrosated derivatives: Other: Other</t>
  </si>
  <si>
    <t>Cyclanic, cyclenic or cycloterpenic ethers and their halogenated, sulphonated, nitrated or nitrosated derivatives</t>
  </si>
  <si>
    <t>CHAPTER 29 - ORGANIC CHEMICALS: Ethers, ether-alcohols, ether-phenols, ether-alcohol-phenols, alcohol peroxides, ether peroxides, acetal and hemiacetal peroxides, ketone peroxides (whether or not chemically defined), and their halogenated, sulphonated, nitrated or nitrosated derivatives: Cyclanic, cyclenic or cycloterpenic ethers and their halogenated, sulphonated, nitrated or nitrosated derivatives</t>
  </si>
  <si>
    <t>CHAPTER 29 - ORGANIC CHEMICALS: Ethers, ether-alcohols, ether-phenols, ether-alcohol-phenols, alcohol peroxides, ether peroxides, ketone peroxides (whether or not chemically defined), and their halogenated, sulphonated, nitrated or nitrosated derivatives: Cyclanic, cyclenic or cycloterpenic ethers and their halogenated, sulphonated, nitrated or nitrosated derivatives</t>
  </si>
  <si>
    <t>Diphenyl ether</t>
  </si>
  <si>
    <t>CHAPTER 29 - ORGANIC CHEMICALS: Ethers, ether-alcohols, ether-phenols, ether-alcohol-phenols, alcohol peroxides, ether peroxides, acetal and hemiacetal peroxides, ketone peroxides (whether or not chemically defined), and their halogenated, sulphonated, nitrated or nitrosated derivatives: Aromatic ethers and their halogenated, sulphonated, nitrated or nitrosated derivatives: Diphenyl ether</t>
  </si>
  <si>
    <t>CHAPTER 29 - ORGANIC CHEMICALS: Ethers, ether-alcohols, ether-phenols, ether-alcohol-phenols, alcohol peroxides, ether peroxides, ketone peroxides (whether or not chemically defined), and their halogenated, sulphonated, nitrated or nitrosated derivatives: Aromatic ethers and their halogenated, sulphonated, nitrated or nitrosated derivatives: Diphenyl ether</t>
  </si>
  <si>
    <t>Pentabromodiphenyl ether; 1,2,4,5-tetrabromo-3,6-bis(pentabromophenoxy)benzene</t>
  </si>
  <si>
    <t>CHAPTER 29 - ORGANIC CHEMICALS: Ethers, ether-alcohols, ether-phenols, ether-alcohol-phenols, alcohol peroxides, ether peroxides, acetal and hemiacetal peroxides, ketone peroxides (whether or not chemically defined), and their halogenated, sulphonated, nitrated or nitrosated derivatives: Aromatic ethers and their halogenated, sulphonated, nitrated or nitrosated derivatives: Derivatives halogenated only with bromine: Pentabromodiphenyl ether; 1,2,4,5-tetrabromo-3,6-bis(pentabromophenoxy)benzene</t>
  </si>
  <si>
    <t>CHAPTER 29 - ORGANIC CHEMICALS: Ethers, ether-alcohols, ether-phenols, ether-alcohol-phenols, alcohol peroxides, ether peroxides, ketone peroxides (whether or not chemically defined), and their halogenated, sulphonated, nitrated or nitrosated derivatives: Aromatic ethers and their halogenated, sulphonated, nitrated or nitrosated derivatives: Derivatives halogenated only with bromine: Pentabromodiphenyl ether; 1,2,4,5-tetrabromo-3,6-bis(pentabromophenoxy)benzene</t>
  </si>
  <si>
    <t>1,2-Bis(2,4,6-tribromophenoxy)ethane, for the manufacture of acrylonitrile-butadiene-styrene (ABS)</t>
  </si>
  <si>
    <t>CHAPTER 29 - ORGANIC CHEMICALS: Ethers, ether-alcohols, ether-phenols, ether-alcohol-phenols, alcohol peroxides, ether peroxides, acetal and hemiacetal peroxides, ketone peroxides (whether or not chemically defined), and their halogenated, sulphonated, nitrated or nitrosated derivatives: Aromatic ethers and their halogenated, sulphonated, nitrated or nitrosated derivatives: Derivatives halogenated only with bromine: 1,2-Bis(2,4,6-tribromophenoxy)ethane, for the manufacture of acrylonitrile-butadiene-styrene (ABS)</t>
  </si>
  <si>
    <t>CHAPTER 29 - ORGANIC CHEMICALS: Ethers, ether-alcohols, ether-phenols, ether-alcohol-phenols, alcohol peroxides, ether peroxides, ketone peroxides (whether or not chemically defined), and their halogenated, sulphonated, nitrated or nitrosated derivatives: Aromatic ethers and their halogenated, sulphonated, nitrated or nitrosated derivatives: Derivatives halogenated only with bromine: 1,2-Bis(2,4,6-tribromophenoxy)ethane, for the manufacture of acrylonitrile-butadiene-styrene (ABS)</t>
  </si>
  <si>
    <t>CHAPTER 29 - ORGANIC CHEMICALS: Ethers, ether-alcohols, ether-phenols, ether-alcohol-phenols, alcohol peroxides, ether peroxides, acetal and hemiacetal peroxides, ketone peroxides (whether or not chemically defined), and their halogenated, sulphonated, nitrated or nitrosated derivatives: Aromatic ethers and their halogenated, sulphonated, nitrated or nitrosated derivatives: Derivatives halogenated only with bromine: Other</t>
  </si>
  <si>
    <t>CHAPTER 29 - ORGANIC CHEMICALS: Ethers, ether-alcohols, ether-phenols, ether-alcohol-phenols, alcohol peroxides, ether peroxides, ketone peroxides (whether or not chemically defined), and their halogenated, sulphonated, nitrated or nitrosated derivatives: Aromatic ethers and their halogenated, sulphonated, nitrated or nitrosated derivatives: Derivatives halogenated only with bromine: Other</t>
  </si>
  <si>
    <t>CHAPTER 29 - ORGANIC CHEMICALS: Ethers, ether-alcohols, ether-phenols, ether-alcohol-phenols, alcohol peroxides, ether peroxides, acetal and hemiacetal peroxides, ketone peroxides (whether or not chemically defined), and their halogenated, sulphonated, nitrated or nitrosated derivatives: Aromatic ethers and their halogenated, sulphonated, nitrated or nitrosated derivatives: Other</t>
  </si>
  <si>
    <t>CHAPTER 29 - ORGANIC CHEMICALS: Ethers, ether-alcohols, ether-phenols, ether-alcohol-phenols, alcohol peroxides, ether peroxides, ketone peroxides (whether or not chemically defined), and their halogenated, sulphonated, nitrated or nitrosated derivatives: Aromatic ethers and their halogenated, sulphonated, nitrated or nitrosated derivatives: Other</t>
  </si>
  <si>
    <t>2,2′-Oxydiethanol (diethylene glycol, digol)</t>
  </si>
  <si>
    <t>CHAPTER 29 - ORGANIC CHEMICALS: Ethers, ether-alcohols, ether-phenols, ether-alcohol-phenols, alcohol peroxides, ether peroxides, acetal and hemiacetal peroxides, ketone peroxides (whether or not chemically defined), and their halogenated, sulphonated, nitrated or nitrosated derivatives: Ether-alcohols and their halogenated, sulphonated, nitrated or nitrosated derivatives: 2,2′-Oxydiethanol (diethylene glycol, digol)</t>
  </si>
  <si>
    <t>CHAPTER 29 - ORGANIC CHEMICALS: Ethers, ether-alcohols, ether-phenols, ether-alcohol-phenols, alcohol peroxides, ether peroxides, ketone peroxides (whether or not chemically defined), and their halogenated, sulphonated, nitrated or nitrosated derivatives: Ether-alcohols and their halogenated, sulphonated, nitrated or nitrosated derivatives: 2,2′-Oxydiethanol (diethylene glycol, digol)</t>
  </si>
  <si>
    <t>Monobutyl ethers of ethylene glycol or of diethylene glycol</t>
  </si>
  <si>
    <t>CHAPTER 29 - ORGANIC CHEMICALS: Ethers, ether-alcohols, ether-phenols, ether-alcohol-phenols, alcohol peroxides, ether peroxides, acetal and hemiacetal peroxides, ketone peroxides (whether or not chemically defined), and their halogenated, sulphonated, nitrated or nitrosated derivatives: Ether-alcohols and their halogenated, sulphonated, nitrated or nitrosated derivatives: Monobutyl ethers of ethylene glycol or of diethylene glycol</t>
  </si>
  <si>
    <t>CHAPTER 29 - ORGANIC CHEMICALS: Ethers, ether-alcohols, ether-phenols, ether-alcohol-phenols, alcohol peroxides, ether peroxides, ketone peroxides (whether or not chemically defined), and their halogenated, sulphonated, nitrated or nitrosated derivatives: Ether-alcohols and their halogenated, sulphonated, nitrated or nitrosated derivatives: Monobutyl ethers of ethylene glycol or of diethylene glycol</t>
  </si>
  <si>
    <t>Other monoalkylethers of ethylene glycol or of diethylene glycol</t>
  </si>
  <si>
    <t>CHAPTER 29 - ORGANIC CHEMICALS: Ethers, ether-alcohols, ether-phenols, ether-alcohol-phenols, alcohol peroxides, ether peroxides, acetal and hemiacetal peroxides, ketone peroxides (whether or not chemically defined), and their halogenated, sulphonated, nitrated or nitrosated derivatives: Ether-alcohols and their halogenated, sulphonated, nitrated or nitrosated derivatives: Other monoalkylethers of ethylene glycol or of diethylene glycol</t>
  </si>
  <si>
    <t>CHAPTER 29 - ORGANIC CHEMICALS: Ethers, ether-alcohols, ether-phenols, ether-alcohol-phenols, alcohol peroxides, ether peroxides, ketone peroxides (whether or not chemically defined), and their halogenated, sulphonated, nitrated or nitrosated derivatives: Ether-alcohols and their halogenated, sulphonated, nitrated or nitrosated derivatives: Other monoalkylethers of ethylene glycol or of diethylene glycol</t>
  </si>
  <si>
    <t>2-(2-Chloroethoxy)ethanol</t>
  </si>
  <si>
    <t>CHAPTER 29 - ORGANIC CHEMICALS: Ethers, ether-alcohols, ether-phenols, ether-alcohol-phenols, alcohol peroxides, ether peroxides, acetal and hemiacetal peroxides, ketone peroxides (whether or not chemically defined), and their halogenated, sulphonated, nitrated or nitrosated derivatives: Ether-alcohols and their halogenated, sulphonated, nitrated or nitrosated derivatives: Other: 2-(2-Chloroethoxy)ethanol</t>
  </si>
  <si>
    <t>CHAPTER 29 - ORGANIC CHEMICALS: Ethers, ether-alcohols, ether-phenols, ether-alcohol-phenols, alcohol peroxides, ether peroxides, ketone peroxides (whether or not chemically defined), and their halogenated, sulphonated, nitrated or nitrosated derivatives: Ether-alcohols and their halogenated, sulphonated, nitrated or nitrosated derivatives: Other: 2-(2-Chloroethoxy)ethanol</t>
  </si>
  <si>
    <t>CHAPTER 29 - ORGANIC CHEMICALS: Ethers, ether-alcohols, ether-phenols, ether-alcohol-phenols, alcohol peroxides, ether peroxides, acetal and hemiacetal peroxides, ketone peroxides (whether or not chemically defined), and their halogenated, sulphonated, nitrated or nitrosated derivatives: Ether-alcohols and their halogenated, sulphonated, nitrated or nitrosated derivatives: Other: Other</t>
  </si>
  <si>
    <t>CHAPTER 29 - ORGANIC CHEMICALS: Ethers, ether-alcohols, ether-phenols, ether-alcohol-phenols, alcohol peroxides, ether peroxides, ketone peroxides (whether or not chemically defined), and their halogenated, sulphonated, nitrated or nitrosated derivatives: Ether-alcohols and their halogenated, sulphonated, nitrated or nitrosated derivatives: Other: Other</t>
  </si>
  <si>
    <t>Ether-phenols, ether-alcohol-phenols and their halogenated, sulphonated, nitrated or nitrosated derivatives</t>
  </si>
  <si>
    <t>CHAPTER 29 - ORGANIC CHEMICALS: Ethers, ether-alcohols, ether-phenols, ether-alcohol-phenols, alcohol peroxides, ether peroxides, acetal and hemiacetal peroxides, ketone peroxides (whether or not chemically defined), and their halogenated, sulphonated, nitrated or nitrosated derivatives: Ether-phenols, ether-alcohol-phenols and their halogenated, sulphonated, nitrated or nitrosated derivatives</t>
  </si>
  <si>
    <t>CHAPTER 29 - ORGANIC CHEMICALS: Ethers, ether-alcohols, ether-phenols, ether-alcohol-phenols, alcohol peroxides, ether peroxides, ketone peroxides (whether or not chemically defined), and their halogenated, sulphonated, nitrated or nitrosated derivatives: Ether-phenols, ether-alcohol-phenols and their halogenated, sulphonated, nitrated or nitrosated derivatives</t>
  </si>
  <si>
    <t>Alfentanil (INN), anileridine (INN), bezitramide (INN), bromazepam (INN), carfentanil (INN), difenoxin (INN), diphenoxylate (INN), dipipanone (INN), fentanyl (INN), ketobemidone (INN), methylphenidate (INN), pentazocine (INN), pethidine (INN), pethidine (INN) intermediate A, phencyclidine (INN) (PCP), phenoperidine (INN), pipradrol (INN), piritramide (INN), propiram (INN), remifentanil (INN) and trimeperidine (INN); salts thereof</t>
  </si>
  <si>
    <t>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t>
  </si>
  <si>
    <t>CHAPTER 29 - ORGANIC CHEMICALS: Heterocyclic compounds with nitrogen hetero-atom(s) only: Compounds containing an unfused pyridine ring (whether or not hydrogenated) in the structure: Alfentanil (INN), anileridine (INN), bezitramide (INN), bromazepam (INN), carfentanil (INN), difenoxin (INN), diphenoxylate (INN), dipipanone (INN), fentanyl (INN), ketobemidone (INN), methylphenidate (INN), pentazocine (INN), pethidine (INN), pethidine (INN) intermediate A, phencyclidine (INN) (PCP), phenoperidine (INN), pipradrol (INN), piritramide (INN), propiram (INN), remifentanil (INN) and trimeperidine (INN); salts thereof</t>
  </si>
  <si>
    <t>CHAPTER 29 - ORGANIC CHEMICALS: Heterocyclic compounds with nitrogen hetero-atom(s) only: Compounds containing an unfused pyridine ring (whether or not hydrogenated) in the structure: 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t>
  </si>
  <si>
    <t>D- or DL-Pantothenic acid (vitamin B5) and its derivatives</t>
  </si>
  <si>
    <t>D- or DL-Pantothenic acid (vitamin B3 or vitamin B5) and its derivatives</t>
  </si>
  <si>
    <t>CHAPTER 29 - ORGANIC CHEMICALS: Provitamins and vitamins, natural or reproduced by synthesis (including natural concentrates), derivatives thereof used primarily as vitamins, and intermixtures of the foregoing, whether or not in any solvent: Vitamins and their derivatives, unmixed: D- or DL-Pantothenic acid (vitamin B5) and its derivatives</t>
  </si>
  <si>
    <t>CHAPTER 29 - ORGANIC CHEMICALS: Provitamins and vitamins, natural or reproduced by synthesis (including natural concentrates), derivatives thereof used primarily as vitamins, and intermixtures of the foregoing, whether or not in any solvent: Vitamins and their derivatives, unmixed: D- or DL-Pantothenic acid (vitamin B3 or vitamin B5) and its derivatives</t>
  </si>
  <si>
    <t>Ephedrine and its salts</t>
  </si>
  <si>
    <t>CHAPTER 29 - ORGANIC CHEMICALS: Alkaloids, natural or reproduced by synthesis, and their salts, ethers, esters and other derivatives: Alkaloids of ephedra and their derivatives; salts thereof: Ephedrine and its salts</t>
  </si>
  <si>
    <t>CHAPTER 29 - ORGANIC CHEMICALS: Alkaloids, natural or reproduced by synthesis, and their salts, ethers, esters and other derivatives: Ephedrines and their salts: Ephedrine and its salts</t>
  </si>
  <si>
    <t>Pseudoephedrine (INN) and its salts</t>
  </si>
  <si>
    <t>CHAPTER 29 - ORGANIC CHEMICALS: Alkaloids, natural or reproduced by synthesis, and their salts, ethers, esters and other derivatives: Alkaloids of ephedra and their derivatives; salts thereof: Pseudoephedrine (INN) and its salts</t>
  </si>
  <si>
    <t>CHAPTER 29 - ORGANIC CHEMICALS: Alkaloids, natural or reproduced by synthesis, and their salts, ethers, esters and other derivatives: Ephedrines and their salts: Pseudoephedrine (INN) and its salts</t>
  </si>
  <si>
    <t>Cathine (INN) and its salts</t>
  </si>
  <si>
    <t>CHAPTER 29 - ORGANIC CHEMICALS: Alkaloids, natural or reproduced by synthesis, and their salts, ethers, esters and other derivatives: Alkaloids of ephedra and their derivatives; salts thereof: Cathine (INN) and its salts</t>
  </si>
  <si>
    <t>CHAPTER 29 - ORGANIC CHEMICALS: Alkaloids, natural or reproduced by synthesis, and their salts, ethers, esters and other derivatives: Ephedrines and their salts: Cathine (INN) and its salts</t>
  </si>
  <si>
    <t>Norephedrine and its salts</t>
  </si>
  <si>
    <t>CHAPTER 29 - ORGANIC CHEMICALS: Alkaloids, natural or reproduced by synthesis, and their salts, ethers, esters and other derivatives: Alkaloids of ephedra and their derivatives; salts thereof: Norephedrine and its salts</t>
  </si>
  <si>
    <t>CHAPTER 29 - ORGANIC CHEMICALS: Alkaloids, natural or reproduced by synthesis, and their salts, ethers, esters and other derivatives: Ephedrines and their salts: Norephedrine and its salts</t>
  </si>
  <si>
    <t>CHAPTER 29 - ORGANIC CHEMICALS: Alkaloids, natural or reproduced by synthesis, and their salts, ethers, esters and other derivatives: Alkaloids of ephedra and their derivatives; salts thereof: Other</t>
  </si>
  <si>
    <t>CHAPTER 29 - ORGANIC CHEMICALS: Alkaloids, natural or reproduced by synthesis, and their salts, ethers, esters and other derivatives: Ephedrines and their salts: Other</t>
  </si>
  <si>
    <t>Antisera and other blood fractions</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</si>
  <si>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cell cultures, whether or not modified: Antisera, other blood fractions and immunological products, whether or not modified or obtained by means of biotechnological processes: Antisera and other blood fractions</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</si>
  <si>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Antisera, other blood fractions and immunological products, whether or not modified or obtained by means of biotechnological processes: Antisera and other blood fractions</t>
  </si>
  <si>
    <t>Immunological products, unmixed, not put up in measured doses or in forms or packings for retail sale</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</si>
  <si>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cell cultures, whether or not modified: Antisera, other blood fractions and immunological products, whether or not modified or obtained by means of biotechnological processes: Immunological products, unmixed, not put up in measured doses or in forms or packings for retail sale</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</si>
  <si>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Antisera, other blood fractions and immunological products, whether or not modified or obtained by means of biotechnological processes: Immunological products, unmixed, not put up in measured doses or in forms or packings for retail sale</t>
  </si>
  <si>
    <t>Immunological products, mixed, not put up in measured doses or in forms or packings for retail sale</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</si>
  <si>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cell cultures, whether or not modified: Antisera, other blood fractions and immunological products, whether or not modified or obtained by means of biotechnological processes: Immunological products, mixed, not put up in measured doses or in forms or packings for retail sale</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</si>
  <si>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Antisera, other blood fractions and immunological products, whether or not modified or obtained by means of biotechnological processes: Immunological products, mixed, not put up in measured doses or in forms or packings for retail sale</t>
  </si>
  <si>
    <t>Immunological products, put up in measured doses or in forms or packings for retail sale</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</si>
  <si>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cell cultures, whether or not modified: Antisera, other blood fractions and immunological products, whether or not modified or obtained by means of biotechnological processes: Immunological products, put up in measured doses or in forms or packings for retail sale</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</si>
  <si>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Antisera, other blood fractions and immunological products, whether or not modified or obtained by means of biotechnological processes: Immunological products, put up in measured doses or in forms or packings for retail sale</t>
  </si>
  <si>
    <t>Human blood</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</si>
  <si>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cell cultures, whether or not modified: Other: Human blood</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</si>
  <si>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Other: Human blood</t>
  </si>
  <si>
    <t>Animal blood prepared for therapeutic, prophylactic or diagnostic uses</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</si>
  <si>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cell cultures, whether or not modified: Other: Animal blood prepared for therapeutic, prophylactic or diagnostic uses</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</si>
  <si>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Other: Animal blood prepared for therapeutic, prophylactic or diagnostic uses</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</si>
  <si>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cell cultures, whether or not modified: Other: Other</t>
  </si>
  <si>
    <t>CHAPTER 30 - PHARMACEUTICAL PRODUCTS: 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Other: Other</t>
  </si>
  <si>
    <t>Polyimide foil and strip, uncoated, or coated or covered solely with plastic</t>
  </si>
  <si>
    <t>Polyimide sheet and strip, uncoated, or coated or covered solely with plastic</t>
  </si>
  <si>
    <t>CHAPTER 39 - PLASTICS AND ARTICLES THEREOF: Other plates, sheets, film, foil and strip, of plastics, non-cellular and not reinforced, laminated, supported or similarly combined with other materials: Of other plastics: Of other plastics: Of condensation or rearrangement polymerisation products, whether or not chemically modified: Polyimide foil and strip, uncoated, or coated or covered solely with plastic</t>
  </si>
  <si>
    <t>CHAPTER 39 - PLASTICS AND ARTICLES THEREOF: Other plates, sheets, film, foil and strip, of plastics, non-cellular and not reinforced, laminated, supported or similarly combined with other materials: Of other plastics: Of other plastics: Of condensation or rearrangement polymerisation products, whether or not chemically modified: Polyimide sheet and strip, uncoated, or coated or covered solely with plastic</t>
  </si>
  <si>
    <t>Sawlogs</t>
  </si>
  <si>
    <t>CHAPTER 44 - WOOD AND ARTICLES OF WOOD; WOOD CHARCOAL: Wood in the rough, whether or not stripped of bark or sapwood, or roughly squared: Other, coniferous: Of pine (Pinus spp.), of which the smallest cross-sectional dimension is 15 cm or more: Sawlogs</t>
  </si>
  <si>
    <t>CHAPTER 44 - WOOD AND ARTICLES OF WOOD; WOOD CHARCOAL: Wood in the rough, whether or not stripped of bark or sapwood, or roughly squared: Other, coniferous: Of pine (Pinus spp.), of which any cross-sectional dimension is 15 cm or more: Sawlogs</t>
  </si>
  <si>
    <t>CHAPTER 44 - WOOD AND ARTICLES OF WOOD; WOOD CHARCOAL: Wood in the rough, whether or not stripped of bark or sapwood, or roughly squared: Other, coniferous: Of pine (Pinus spp.), of which the smallest cross-sectional dimension is 15 cm or more: Other</t>
  </si>
  <si>
    <t>CHAPTER 44 - WOOD AND ARTICLES OF WOOD; WOOD CHARCOAL: Wood in the rough, whether or not stripped of bark or sapwood, or roughly squared: Other, coniferous: Of pine (Pinus spp.), of which any cross-sectional dimension is 15 cm or more: Other</t>
  </si>
  <si>
    <t>CHAPTER 44 - WOOD AND ARTICLES OF WOOD; WOOD CHARCOAL: Wood in the rough, whether or not stripped of bark or sapwood, or roughly squared: Other, coniferous: Of fir (Abies spp.) and spruce (Picea spp.), of which the smallest cross-sectional dimension is 15 cm or more: Sawlogs</t>
  </si>
  <si>
    <t>CHAPTER 44 - WOOD AND ARTICLES OF WOOD; WOOD CHARCOAL: Wood in the rough, whether or not stripped of bark or sapwood, or roughly squared: Other, coniferous: Of fir (Abies spp.) and spruce (Picea spp.), of which any cross-sectional dimension is 15 cm or more: Sawlogs</t>
  </si>
  <si>
    <t>CHAPTER 44 - WOOD AND ARTICLES OF WOOD; WOOD CHARCOAL: Wood in the rough, whether or not stripped of bark or sapwood, or roughly squared: Other, coniferous: Of fir (Abies spp.) and spruce (Picea spp.), of which the smallest cross-sectional dimension is 15 cm or more: Other</t>
  </si>
  <si>
    <t>CHAPTER 44 - WOOD AND ARTICLES OF WOOD; WOOD CHARCOAL: Wood in the rough, whether or not stripped of bark or sapwood, or roughly squared: Other, coniferous: Of fir (Abies spp.) and spruce (Picea spp.), of which any cross-sectional dimension is 15 cm or more: Other</t>
  </si>
  <si>
    <t>CHAPTER 44 - WOOD AND ARTICLES OF WOOD; WOOD CHARCOAL: Wood in the rough, whether or not stripped of bark or sapwood, or roughly squared: Other, coniferous: Other, of which the smallest cross-sectional dimension is 15 cm or more: Sawlogs</t>
  </si>
  <si>
    <t>CHAPTER 44 - WOOD AND ARTICLES OF WOOD; WOOD CHARCOAL: Wood in the rough, whether or not stripped of bark or sapwood, or roughly squared: Other, coniferous: Other, of which any cross-sectional dimension is 15 cm or more: Sawlogs</t>
  </si>
  <si>
    <t>CHAPTER 44 - WOOD AND ARTICLES OF WOOD; WOOD CHARCOAL: Wood in the rough, whether or not stripped of bark or sapwood, or roughly squared: Other, coniferous: Other, of which the smallest cross-sectional dimension is 15 cm or more: Other</t>
  </si>
  <si>
    <t>CHAPTER 44 - WOOD AND ARTICLES OF WOOD; WOOD CHARCOAL: Wood in the rough, whether or not stripped of bark or sapwood, or roughly squared: Other, coniferous: Other, of which any cross-sectional dimension is 15 cm or more: Other</t>
  </si>
  <si>
    <t>Of beech (Fagus spp.), of which the smallest cross-sectional dimension is 15 cm or more</t>
  </si>
  <si>
    <t>Of beech (Fagus spp.), of which any cross-sectional dimension is 15 cm or more</t>
  </si>
  <si>
    <t>CHAPTER 44 - WOOD AND ARTICLES OF WOOD; WOOD CHARCOAL: Wood in the rough, whether or not stripped of bark or sapwood, or roughly squared: Other: Of beech (Fagus spp.), of which the smallest cross-sectional dimension is 15 cm or more</t>
  </si>
  <si>
    <t>CHAPTER 44 - WOOD AND ARTICLES OF WOOD; WOOD CHARCOAL: Wood in the rough, whether or not stripped of bark or sapwood, or roughly squared: Other: Of beech (Fagus spp.), of which any cross-sectional dimension is 15 cm or more</t>
  </si>
  <si>
    <t>CHAPTER 44 - WOOD AND ARTICLES OF WOOD; WOOD CHARCOAL: Wood in the rough, whether or not stripped of bark or sapwood, or roughly squared: Other: Of birch (Betula spp.), of which the smallest cross-sectional dimension is 15 cm or more: Sawlogs</t>
  </si>
  <si>
    <t>CHAPTER 44 - WOOD AND ARTICLES OF WOOD; WOOD CHARCOAL: Wood in the rough, whether or not stripped of bark or sapwood, or roughly squared: Other: Of birch (Betula spp.), of which any cross-sectional dimension is 15 cm or more: Sawlogs</t>
  </si>
  <si>
    <t>CHAPTER 44 - WOOD AND ARTICLES OF WOOD; WOOD CHARCOAL: Wood in the rough, whether or not stripped of bark or sapwood, or roughly squared: Other: Of birch (Betula spp.), of which the smallest cross-sectional dimension is 15 cm or more: Other</t>
  </si>
  <si>
    <t>CHAPTER 44 - WOOD AND ARTICLES OF WOOD; WOOD CHARCOAL: Wood in the rough, whether or not stripped of bark or sapwood, or roughly squared: Other: Of birch (Betula spp.), of which any cross-sectional dimension is 15 cm or more: Other</t>
  </si>
  <si>
    <t>End-jointed, whether or not planed or sanded</t>
  </si>
  <si>
    <t>CHAPTER 44 - WOOD AND ARTICLES OF WOOD; WOOD CHARCOAL: Wood sawn or chipped lengthwise, sliced or peeled, whether or not planed, sanded or end-jointed, of a thickness exceeding 6 mm: Of tropical wood: Other: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tiama, tola: End-jointed, whether or not planed or sanded</t>
  </si>
  <si>
    <t>CHAPTER 44 - WOOD AND ARTICLES OF WOOD; WOOD CHARCOAL: Wood sawn or chipped lengthwise, sliced or peeled, whether or not planed, sanded or end-jointed, of a thickness exceeding 6 mm: Of tropical wood: Other: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teak, tiama, tola: End-jointed, whether or not planed or sanded</t>
  </si>
  <si>
    <t>Palissandre de Para, palissandre de Rio and palissandre de Rose, planed</t>
  </si>
  <si>
    <t>CHAPTER 44 - WOOD AND ARTICLES OF WOOD; WOOD CHARCOAL: Wood sawn or chipped lengthwise, sliced or peeled, whether or not planed, sanded or end-jointed, of a thickness exceeding 6 mm: Of tropical wood: Other: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tiama, tola: Other: Palissandre de Para, palissandre de Rio and palissandre de Rose, planed</t>
  </si>
  <si>
    <t>CHAPTER 44 - WOOD AND ARTICLES OF WOOD; WOOD CHARCOAL: Wood sawn or chipped lengthwise, sliced or peeled, whether or not planed, sanded or end-jointed, of a thickness exceeding 6 mm: Of tropical wood: Other: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teak, tiama, tola: Other: Palissandre de Para, palissandre de Rio and palissandre de Rose, planed</t>
  </si>
  <si>
    <t>CHAPTER 44 - WOOD AND ARTICLES OF WOOD; WOOD CHARCOAL: Wood sawn or chipped lengthwise, sliced or peeled, whether or not planed, sanded or end-jointed, of a thickness exceeding 6 mm: Of tropical wood: Other: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tiama, tola: Other: Other: Planed</t>
  </si>
  <si>
    <t>CHAPTER 44 - WOOD AND ARTICLES OF WOOD; WOOD CHARCOAL: Wood sawn or chipped lengthwise, sliced or peeled, whether or not planed, sanded or end-jointed, of a thickness exceeding 6 mm: Of tropical wood: Other: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teak, tiama, tola: Other: Other: Planed</t>
  </si>
  <si>
    <t>Sanded</t>
  </si>
  <si>
    <t>CHAPTER 44 - WOOD AND ARTICLES OF WOOD; WOOD CHARCOAL: Wood sawn or chipped lengthwise, sliced or peeled, whether or not planed, sanded or end-jointed, of a thickness exceeding 6 mm: Of tropical wood: Other: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tiama, tola: Other: Other: Sanded</t>
  </si>
  <si>
    <t>CHAPTER 44 - WOOD AND ARTICLES OF WOOD; WOOD CHARCOAL: Wood sawn or chipped lengthwise, sliced or peeled, whether or not planed, sanded or end-jointed, of a thickness exceeding 6 mm: Of tropical wood: Other: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teak, tiama, tola: Other: Other: Sanded</t>
  </si>
  <si>
    <t>CHAPTER 44 - WOOD AND ARTICLES OF WOOD; WOOD CHARCOAL: Wood sawn or chipped lengthwise, sliced or peeled, whether or not planed, sanded or end-jointed, of a thickness exceeding 6 mm: Of tropical wood: Other: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tiama, tola: Other: Other: Other</t>
  </si>
  <si>
    <t>CHAPTER 44 - WOOD AND ARTICLES OF WOOD; WOOD CHARCOAL: Wood sawn or chipped lengthwise, sliced or peeled, whether or not planed, sanded or end-jointed, of a thickness exceeding 6 mm: Of tropical wood: Other: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teak, tiama, tola: Other: Other: Other</t>
  </si>
  <si>
    <t>Unworked or not further worked than sanded (raw board)</t>
  </si>
  <si>
    <t>Unworked or not further worked than sanded</t>
  </si>
  <si>
    <t>CHAPTER 44 - WOOD AND ARTICLES OF WOOD; WOOD CHARCOAL: Particle board, oriented strand board (OSB) and similar board (for example, waferboard) of wood or other ligneous materials, whether or not agglomerated with resins or other organic binding substances: Of wood: Particle board: Unworked or not further worked than sanded (raw board)</t>
  </si>
  <si>
    <t>CHAPTER 44 - WOOD AND ARTICLES OF WOOD; WOOD CHARCOAL: Particle board, oriented strand board (OSB) and similar board (for example, waferboard) of wood or other ligneous materials, whether or not agglomerated with resins or other organic binding substances: Of wood: Particle board: Unworked or not further worked than sanded</t>
  </si>
  <si>
    <t>CHAPTER 44 - WOOD AND ARTICLES OF WOOD; WOOD CHARCOAL: Particle board, oriented strand board (OSB) and similar board (for example, waferboard) of wood or other ligneous materials, whether or not agglomerated with resins or other organic binding substances: Of wood: Oriented strand board (OSB): Unworked or not further worked than sanded (raw board)</t>
  </si>
  <si>
    <t>CHAPTER 44 - WOOD AND ARTICLES OF WOOD; WOOD CHARCOAL: Particle board, oriented strand board (OSB) and similar board (for example, waferboard) of wood or other ligneous materials, whether or not agglomerated with resins or other organic binding substances: Of wood: Oriented strand board (OSB): Unworked or not further worked than sanded</t>
  </si>
  <si>
    <t>Not mechanically worked or surface covered (raw board)</t>
  </si>
  <si>
    <t>Not mechanically worked or surface covered</t>
  </si>
  <si>
    <t>CHAPTER 44 - WOOD AND ARTICLES OF WOOD; WOOD CHARCOAL: Fibreboard of wood or other ligneous materials, whether or not bonded with resins or other organic substances: Medium density fibreboard (MDF): Of a thickness not exceeding 5 mm: Not mechanically worked or surface covered (raw board)</t>
  </si>
  <si>
    <t>CHAPTER 44 - WOOD AND ARTICLES OF WOOD; WOOD CHARCOAL: Fibreboard of wood or other ligneous materials, whether or not bonded with resins or other organic substances: Medium density fibreboard (MDF): Of a thickness not exceeding 5 mm: Not mechanically worked or surface covered</t>
  </si>
  <si>
    <t>CHAPTER 44 - WOOD AND ARTICLES OF WOOD; WOOD CHARCOAL: Fibreboard of wood or other ligneous materials, whether or not bonded with resins or other organic substances: Medium density fibreboard (MDF): Of a thickness exceeding 5 mm but not exceeding 9 mm: Not mechanically worked or surface covered (raw board)</t>
  </si>
  <si>
    <t>CHAPTER 44 - WOOD AND ARTICLES OF WOOD; WOOD CHARCOAL: Fibreboard of wood or other ligneous materials, whether or not bonded with resins or other organic substances: Medium density fibreboard (MDF): Of a thickness exceeding 5 mm but not exceeding 9 mm: Not mechanically worked or surface covered</t>
  </si>
  <si>
    <t>CHAPTER 44 - WOOD AND ARTICLES OF WOOD; WOOD CHARCOAL: Fibreboard of wood or other ligneous materials, whether or not bonded with resins or other organic substances: Medium density fibreboard (MDF): Of a thickness exceeding 9 mm: Not mechanically worked or surface covered (raw board)</t>
  </si>
  <si>
    <t>CHAPTER 44 - WOOD AND ARTICLES OF WOOD; WOOD CHARCOAL: Fibreboard of wood or other ligneous materials, whether or not bonded with resins or other organic substances: Medium density fibreboard (MDF): Of a thickness exceeding 9 mm: Not mechanically worked or surface covered</t>
  </si>
  <si>
    <t>CHAPTER 44 - WOOD AND ARTICLES OF WOOD; WOOD CHARCOAL: Fibreboard of wood or other ligneous materials, whether or not bonded with resins or other organic substances: Other: Of a density exceeding 0,8 g/cm³: Not mechanically worked or surface covered (raw board)</t>
  </si>
  <si>
    <t>CHAPTER 44 - WOOD AND ARTICLES OF WOOD; WOOD CHARCOAL: Fibreboard of wood or other ligneous materials, whether or not bonded with resins or other organic substances: Other: Of a density exceeding 0,8 g/cm³: Not mechanically worked or surface covered</t>
  </si>
  <si>
    <t>CHAPTER 44 - WOOD AND ARTICLES OF WOOD; WOOD CHARCOAL: Fibreboard of wood or other ligneous materials, whether or not bonded with resins or other organic substances: Other: Of a density not exceeding 0,5 g/cm³: Not mechanically worked or surface covered (raw board)</t>
  </si>
  <si>
    <t>CHAPTER 44 - WOOD AND ARTICLES OF WOOD; WOOD CHARCOAL: Fibreboard of wood or other ligneous materials, whether or not bonded with resins or other organic substances: Other: Of a density not exceeding 0,5 g/cm³: Not mechanically worked or surface covered</t>
  </si>
  <si>
    <t>CHAPTER 44 - WOOD AND ARTICLES OF WOOD; WOOD CHARCOAL: Other articles of wood: Other: Other: Other</t>
  </si>
  <si>
    <t>CHAPTER 44 - WOOD AND ARTICLES OF WOOD; WOOD CHARCOAL: Other articles of wood: Other: Other: Other: Other</t>
  </si>
  <si>
    <t>CHAPTER 57 - CARPETS AND OTHER TEXTILE FLOOR COVERINGS: Carpets and other textile floor coverings (including turf), tufted, whether or not made up: Of wool or fine animal hair</t>
  </si>
  <si>
    <t>CHAPTER 57 - CARPETS AND OTHER TEXTILE FLOOR COVERINGS: Carpets and other textile floor coverings, tufted, whether or not made up: Of wool or fine animal hair</t>
  </si>
  <si>
    <t>Tiles, having a maximum surface area of 1 m²</t>
  </si>
  <si>
    <t>CHAPTER 57 - CARPETS AND OTHER TEXTILE FLOOR COVERINGS: Carpets and other textile floor coverings (including turf), tufted, whether or not made up: Of other textile materials: Tiles, having a maximum surface area of 1 m²</t>
  </si>
  <si>
    <t>CHAPTER 57 - CARPETS AND OTHER TEXTILE FLOOR COVERINGS: Carpets and other textile floor coverings, tufted, whether or not made up: Of other textile materials: Tiles, having a maximum surface area of 1 m²</t>
  </si>
  <si>
    <t>CHAPTER 57 - CARPETS AND OTHER TEXTILE FLOOR COVERINGS: Carpets and other textile floor coverings (including turf), tufted, whether or not made up: Of other textile materials: Other</t>
  </si>
  <si>
    <t>CHAPTER 57 - CARPETS AND OTHER TEXTILE FLOOR COVERINGS: Carpets and other textile floor coverings, tufted, whether or not made up: Of other textile materials: Other</t>
  </si>
  <si>
    <t>Fabrics mentioned in note 5(c) to this chapter</t>
  </si>
  <si>
    <t>Fabrics mentioned in note 4(c) to this chapter</t>
  </si>
  <si>
    <t>CHAPTER 59 - IMPREGNATED, COATED, COVERED OR LAMINATED TEXTILE FABRICS; TEXTILE ARTICLES OF A KIND SUITABLE FOR INDUSTRIAL USE: Rubberised textile fabrics, other than those of heading 5902: Other: Other: Fabrics mentioned in note 5(c) to this chapter</t>
  </si>
  <si>
    <t>CHAPTER 59 - IMPREGNATED, COATED, COVERED OR LAMINATED TEXTILE FABRICS; TEXTILE ARTICLES OF A KIND SUITABLE FOR INDUSTRIAL USE: Rubberised textile fabrics, other than those of heading 5902: Other: Other: Fabrics mentioned in note 4(c) to this chapter</t>
  </si>
  <si>
    <t>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t>
  </si>
  <si>
    <t>CHAPTER 59 - IMPREGNATED, COATED, COVERED OR LAMINATED TEXTILE FABRICS; TEXTILE ARTICLES OF A KIND SUITABLE FOR INDUSTRIAL USE: Textile products and articles, for technical uses, specified in note 8 to this chapter: 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t>
  </si>
  <si>
    <t>CHAPTER 59 - IMPREGNATED, COATED, COVERED OR LAMINATED TEXTILE FABRICS; TEXTILE ARTICLES OF A KIND SUITABLE FOR INDUSTRIAL USE: Textile products and articles, for technical uses, specified in note 7 to this chapter: 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t>
  </si>
  <si>
    <t>Bolting cloth, whether or not made up</t>
  </si>
  <si>
    <t>CHAPTER 59 - IMPREGNATED, COATED, COVERED OR LAMINATED TEXTILE FABRICS; TEXTILE ARTICLES OF A KIND SUITABLE FOR INDUSTRIAL USE: Textile products and articles, for technical uses, specified in note 8 to this chapter: Bolting cloth, whether or not made up</t>
  </si>
  <si>
    <t>CHAPTER 59 - IMPREGNATED, COATED, COVERED OR LAMINATED TEXTILE FABRICS; TEXTILE ARTICLES OF A KIND SUITABLE FOR INDUSTRIAL USE: Textile products and articles, for technical uses, specified in note 7 to this chapter: Bolting cloth, whether or not made up</t>
  </si>
  <si>
    <t>Woven fabrics, of a kind used in papermaking machines (for example, forming fabrics)</t>
  </si>
  <si>
    <t>CHAPTER 59 - IMPREGNATED, COATED, COVERED OR LAMINATED TEXTILE FABRICS; TEXTILE ARTICLES OF A KIND SUITABLE FOR INDUSTRIAL USE: Textile products and articles, for technical uses, specified in note 8 to this chapter: Textile fabrics and felts, endless or fitted with linking devices, of a kind used in paper-making or similar machines (for example, for pulp or asbestos-cement): Weighing less than 650 g/m²: Of silk or man-made fibres: Woven fabrics, of a kind used in papermaking machines (for example, forming fabrics)</t>
  </si>
  <si>
    <t>CHAPTER 59 - IMPREGNATED, COATED, COVERED OR LAMINATED TEXTILE FABRICS; TEXTILE ARTICLES OF A KIND SUITABLE FOR INDUSTRIAL USE: Textile products and articles, for technical uses, specified in note 7 to this chapter: Textile fabrics and felts, endless or fitted with linking devices, of a kind used in paper-making or similar machines (for example, for pulp or asbestos-cement): Weighing less than 650 g/m²: Of silk or man-made fibres: Woven fabrics, of a kind used in papermaking machines (for example, forming fabrics)</t>
  </si>
  <si>
    <t>CHAPTER 59 - IMPREGNATED, COATED, COVERED OR LAMINATED TEXTILE FABRICS; TEXTILE ARTICLES OF A KIND SUITABLE FOR INDUSTRIAL USE: Textile products and articles, for technical uses, specified in note 8 to this chapter: Textile fabrics and felts, endless or fitted with linking devices, of a kind used in paper-making or similar machines (for example, for pulp or asbestos-cement): Weighing less than 650 g/m²: Of silk or man-made fibres: Other</t>
  </si>
  <si>
    <t>CHAPTER 59 - IMPREGNATED, COATED, COVERED OR LAMINATED TEXTILE FABRICS; TEXTILE ARTICLES OF A KIND SUITABLE FOR INDUSTRIAL USE: Textile products and articles, for technical uses, specified in note 7 to this chapter: Textile fabrics and felts, endless or fitted with linking devices, of a kind used in paper-making or similar machines (for example, for pulp or asbestos-cement): Weighing less than 650 g/m²: Of silk or man-made fibres: Other</t>
  </si>
  <si>
    <t>CHAPTER 59 - IMPREGNATED, COATED, COVERED OR LAMINATED TEXTILE FABRICS; TEXTILE ARTICLES OF A KIND SUITABLE FOR INDUSTRIAL USE: Textile products and articles, for technical uses, specified in note 8 to this chapter: Textile fabrics and felts, endless or fitted with linking devices, of a kind used in paper-making or similar machines (for example, for pulp or asbestos-cement): Weighing less than 650 g/m²: Of other textile materials</t>
  </si>
  <si>
    <t>CHAPTER 59 - IMPREGNATED, COATED, COVERED OR LAMINATED TEXTILE FABRICS; TEXTILE ARTICLES OF A KIND SUITABLE FOR INDUSTRIAL USE: Textile products and articles, for technical uses, specified in note 7 to this chapter: Textile fabrics and felts, endless or fitted with linking devices, of a kind used in paper-making or similar machines (for example, for pulp or asbestos-cement): Weighing less than 650 g/m²: Of other textile materials</t>
  </si>
  <si>
    <t>Woven fabrics having a batt layer needled on them, of a kind used in papermaking machines (for example, press felts)</t>
  </si>
  <si>
    <t>CHAPTER 59 - IMPREGNATED, COATED, COVERED OR LAMINATED TEXTILE FABRICS; TEXTILE ARTICLES OF A KIND SUITABLE FOR INDUSTRIAL USE: Textile products and articles, for technical uses, specified in note 8 to this chapter: Textile fabrics and felts, endless or fitted with linking devices, of a kind used in paper-making or similar machines (for example, for pulp or asbestos-cement): Weighing 650 g/m² or more: Of silk or man-made fibres: Woven fabrics having a batt layer needled on them, of a kind used in papermaking machines (for example, press felts)</t>
  </si>
  <si>
    <t>CHAPTER 59 - IMPREGNATED, COATED, COVERED OR LAMINATED TEXTILE FABRICS; TEXTILE ARTICLES OF A KIND SUITABLE FOR INDUSTRIAL USE: Textile products and articles, for technical uses, specified in note 7 to this chapter: Textile fabrics and felts, endless or fitted with linking devices, of a kind used in paper-making or similar machines (for example, for pulp or asbestos-cement): Weighing 650 g/m² or more: Of silk or man-made fibres: Woven fabrics having a batt layer needled on them, of a kind used in papermaking machines (for example, press felts)</t>
  </si>
  <si>
    <t>CHAPTER 59 - IMPREGNATED, COATED, COVERED OR LAMINATED TEXTILE FABRICS; TEXTILE ARTICLES OF A KIND SUITABLE FOR INDUSTRIAL USE: Textile products and articles, for technical uses, specified in note 8 to this chapter: Textile fabrics and felts, endless or fitted with linking devices, of a kind used in paper-making or similar machines (for example, for pulp or asbestos-cement): Weighing 650 g/m² or more: Of silk or man-made fibres: Other</t>
  </si>
  <si>
    <t>CHAPTER 59 - IMPREGNATED, COATED, COVERED OR LAMINATED TEXTILE FABRICS; TEXTILE ARTICLES OF A KIND SUITABLE FOR INDUSTRIAL USE: Textile products and articles, for technical uses, specified in note 7 to this chapter: Textile fabrics and felts, endless or fitted with linking devices, of a kind used in paper-making or similar machines (for example, for pulp or asbestos-cement): Weighing 650 g/m² or more: Of silk or man-made fibres: Other</t>
  </si>
  <si>
    <t>CHAPTER 59 - IMPREGNATED, COATED, COVERED OR LAMINATED TEXTILE FABRICS; TEXTILE ARTICLES OF A KIND SUITABLE FOR INDUSTRIAL USE: Textile products and articles, for technical uses, specified in note 8 to this chapter: Textile fabrics and felts, endless or fitted with linking devices, of a kind used in paper-making or similar machines (for example, for pulp or asbestos-cement): Weighing 650 g/m² or more: Of other textile materials</t>
  </si>
  <si>
    <t>CHAPTER 59 - IMPREGNATED, COATED, COVERED OR LAMINATED TEXTILE FABRICS; TEXTILE ARTICLES OF A KIND SUITABLE FOR INDUSTRIAL USE: Textile products and articles, for technical uses, specified in note 7 to this chapter: Textile fabrics and felts, endless or fitted with linking devices, of a kind used in paper-making or similar machines (for example, for pulp or asbestos-cement): Weighing 650 g/m² or more: Of other textile materials</t>
  </si>
  <si>
    <t>Filtering or straining cloth of a kind used in oil-presses or the like, including that of human hair</t>
  </si>
  <si>
    <t>Straining cloth of a kind used in oil-presses or the like, including that of human hair</t>
  </si>
  <si>
    <t>CHAPTER 59 - IMPREGNATED, COATED, COVERED OR LAMINATED TEXTILE FABRICS; TEXTILE ARTICLES OF A KIND SUITABLE FOR INDUSTRIAL USE: Textile products and articles, for technical uses, specified in note 8 to this chapter: Filtering or straining cloth of a kind used in oil-presses or the like, including that of human hair</t>
  </si>
  <si>
    <t>CHAPTER 59 - IMPREGNATED, COATED, COVERED OR LAMINATED TEXTILE FABRICS; TEXTILE ARTICLES OF A KIND SUITABLE FOR INDUSTRIAL USE: Textile products and articles, for technical uses, specified in note 7 to this chapter: Straining cloth of a kind used in oil-presses or the like, including that of human hair</t>
  </si>
  <si>
    <t>Of felt</t>
  </si>
  <si>
    <t>CHAPTER 59 - IMPREGNATED, COATED, COVERED OR LAMINATED TEXTILE FABRICS; TEXTILE ARTICLES OF A KIND SUITABLE FOR INDUSTRIAL USE: Textile products and articles, for technical uses, specified in note 8 to this chapter: Other: Of felt</t>
  </si>
  <si>
    <t>CHAPTER 59 - IMPREGNATED, COATED, COVERED OR LAMINATED TEXTILE FABRICS; TEXTILE ARTICLES OF A KIND SUITABLE FOR INDUSTRIAL USE: Textile products and articles, for technical uses, specified in note 7 to this chapter: Other: Of felt</t>
  </si>
  <si>
    <t>Self-adhesive circular polishing pads of a kind used for the manufacture of semiconductor wafers</t>
  </si>
  <si>
    <t>CHAPTER 59 - IMPREGNATED, COATED, COVERED OR LAMINATED TEXTILE FABRICS; TEXTILE ARTICLES OF A KIND SUITABLE FOR INDUSTRIAL USE: Textile products and articles, for technical uses, specified in note 8 to this chapter: Other: Other: Self-adhesive circular polishing pads of a kind used for the manufacture of semiconductor wafers</t>
  </si>
  <si>
    <t>CHAPTER 59 - IMPREGNATED, COATED, COVERED OR LAMINATED TEXTILE FABRICS; TEXTILE ARTICLES OF A KIND SUITABLE FOR INDUSTRIAL USE: Textile products and articles, for technical uses, specified in note 7 to this chapter: Other: Other: Self-adhesive circular polishing pads of a kind used for the manufacture of semiconductor wafers</t>
  </si>
  <si>
    <t>CHAPTER 59 - IMPREGNATED, COATED, COVERED OR LAMINATED TEXTILE FABRICS; TEXTILE ARTICLES OF A KIND SUITABLE FOR INDUSTRIAL USE: Textile products and articles, for technical uses, specified in note 8 to this chapter: Other: Other: Other</t>
  </si>
  <si>
    <t>CHAPTER 59 - IMPREGNATED, COATED, COVERED OR LAMINATED TEXTILE FABRICS; TEXTILE ARTICLES OF A KIND SUITABLE FOR INDUSTRIAL USE: Textile products and articles, for technical uses, specified in note 7 to this chapter: Other: Other: Other</t>
  </si>
  <si>
    <t>Gloves impregnated, coated, covered or laminated with rubber</t>
  </si>
  <si>
    <t>Gloves impregnated, coated or covered with rubber</t>
  </si>
  <si>
    <t>CHAPTER 61 - ARTICLES OF APPAREL AND CLOTHING ACCESSORIES, KNITTED OR CROCHETED: Gloves, mittens and mitts, knitted or crocheted: Impregnated, coated, covered or laminated with plastics or rubber: Gloves impregnated, coated, covered or laminated with rubber</t>
  </si>
  <si>
    <t>CHAPTER 61 - ARTICLES OF APPAREL AND CLOTHING ACCESSORIES, KNITTED OR CROCHETED: Gloves, mittens and mitts, knitted or crocheted: Impregnated, coated or covered with plastics or rubber: Gloves impregnated, coated or covered with rubber</t>
  </si>
  <si>
    <t>CHAPTER 61 - ARTICLES OF APPAREL AND CLOTHING ACCESSORIES, KNITTED OR CROCHETED: Gloves, mittens and mitts, knitted or crocheted: Impregnated, coated, covered or laminated with plastics or rubber: Other</t>
  </si>
  <si>
    <t>CHAPTER 61 - ARTICLES OF APPAREL AND CLOTHING ACCESSORIES, KNITTED OR CROCHETED: Gloves, mittens and mitts, knitted or crocheted: Impregnated, coated or covered with plastics or rubber: Other</t>
  </si>
  <si>
    <t>Other garments, of the type described in heading 6201</t>
  </si>
  <si>
    <t>Other garments, of the type described in subheadings 620111 to 620119</t>
  </si>
  <si>
    <t>CHAPTER 62 - ARTICLES OF APPAREL AND CLOTHING ACCESSORIES, NOT KNITTED OR CROCHETED: Garments, made up of fabrics of heading 5602, 5603, 5903, 5906 or 5907: Other garments, of the type described in heading 6201</t>
  </si>
  <si>
    <t>CHAPTER 62 - ARTICLES OF APPAREL AND CLOTHING ACCESSORIES, NOT KNITTED OR CROCHETED: Garments, made up of fabrics of heading 5602, 5603, 5903, 5906 or 5907: Other garments, of the type described in subheadings 620111 to 620119</t>
  </si>
  <si>
    <t>Other garments, of the type described in heading 6202</t>
  </si>
  <si>
    <t>Other garments, of the type described in subheadings 620211 to 620219</t>
  </si>
  <si>
    <t>CHAPTER 62 - ARTICLES OF APPAREL AND CLOTHING ACCESSORIES, NOT KNITTED OR CROCHETED: Garments, made up of fabrics of heading 5602, 5603, 5903, 5906 or 5907: Other garments, of the type described in heading 6202</t>
  </si>
  <si>
    <t>CHAPTER 62 - ARTICLES OF APPAREL AND CLOTHING ACCESSORIES, NOT KNITTED OR CROCHETED: Garments, made up of fabrics of heading 5602, 5603, 5903, 5906 or 5907: Other garments, of the type described in subheadings 620211 to 620219</t>
  </si>
  <si>
    <t>Of synthetic fibres</t>
  </si>
  <si>
    <t>CHAPTER 63 - OTHER MADE-UP TEXTILE ARTICLES; SETS; WORN CLOTHING AND WORN TEXTILE ARTICLES; RAGS: Tarpaulins, awnings and sunblinds; tents (including temporary canopies and similar articles); sails for boats, sailboards or landcraft; camping goods: Tarpaulins, awnings and sunblinds: Of synthetic fibres</t>
  </si>
  <si>
    <t>CHAPTER 63 - OTHER MADE-UP TEXTILE ARTICLES; SETS; WORN CLOTHING AND WORN TEXTILE ARTICLES; RAGS: Tarpaulins, awnings and sunblinds; tents; sails for boats, sailboards or landcraft; camping goods: Tarpaulins, awnings and sunblinds: Of synthetic fibres</t>
  </si>
  <si>
    <t>CHAPTER 63 - OTHER MADE-UP TEXTILE ARTICLES; SETS; WORN CLOTHING AND WORN TEXTILE ARTICLES; RAGS: Tarpaulins, awnings and sunblinds; tents (including temporary canopies and similar articles); sails for boats, sailboards or landcraft; camping goods: Tarpaulins, awnings and sunblinds: Of other textile materials</t>
  </si>
  <si>
    <t>CHAPTER 63 - OTHER MADE-UP TEXTILE ARTICLES; SETS; WORN CLOTHING AND WORN TEXTILE ARTICLES; RAGS: Tarpaulins, awnings and sunblinds; tents; sails for boats, sailboards or landcraft; camping goods: Tarpaulins, awnings and sunblinds: Of other textile materials</t>
  </si>
  <si>
    <t>CHAPTER 63 - OTHER MADE-UP TEXTILE ARTICLES; SETS; WORN CLOTHING AND WORN TEXTILE ARTICLES; RAGS: Tarpaulins, awnings and sunblinds; tents (including temporary canopies and similar articles); sails for boats, sailboards or landcraft; camping goods: Tents (including temporary canopies and similar articles): Of synthetic fibres</t>
  </si>
  <si>
    <t>CHAPTER 63 - OTHER MADE-UP TEXTILE ARTICLES; SETS; WORN CLOTHING AND WORN TEXTILE ARTICLES; RAGS: Tarpaulins, awnings and sunblinds; tents; sails for boats, sailboards or landcraft; camping goods: Tents: Of synthetic fibres</t>
  </si>
  <si>
    <t>CHAPTER 63 - OTHER MADE-UP TEXTILE ARTICLES; SETS; WORN CLOTHING AND WORN TEXTILE ARTICLES; RAGS: Tarpaulins, awnings and sunblinds; tents (including temporary canopies and similar articles); sails for boats, sailboards or landcraft; camping goods: Tents (including temporary canopies and similar articles): Of other textile materials</t>
  </si>
  <si>
    <t>CHAPTER 63 - OTHER MADE-UP TEXTILE ARTICLES; SETS; WORN CLOTHING AND WORN TEXTILE ARTICLES; RAGS: Tarpaulins, awnings and sunblinds; tents; sails for boats, sailboards or landcraft; camping goods: Tents: Of other textile materials</t>
  </si>
  <si>
    <t>Sails</t>
  </si>
  <si>
    <t>CHAPTER 63 - OTHER MADE-UP TEXTILE ARTICLES; SETS; WORN CLOTHING AND WORN TEXTILE ARTICLES; RAGS: Tarpaulins, awnings and sunblinds; tents (including temporary canopies and similar articles); sails for boats, sailboards or landcraft; camping goods: Sails</t>
  </si>
  <si>
    <t>CHAPTER 63 - OTHER MADE-UP TEXTILE ARTICLES; SETS; WORN CLOTHING AND WORN TEXTILE ARTICLES; RAGS: Tarpaulins, awnings and sunblinds; tents; sails for boats, sailboards or landcraft; camping goods: Sails</t>
  </si>
  <si>
    <t>Pneumatic mattresses</t>
  </si>
  <si>
    <t>CHAPTER 63 - OTHER MADE-UP TEXTILE ARTICLES; SETS; WORN CLOTHING AND WORN TEXTILE ARTICLES; RAGS: Tarpaulins, awnings and sunblinds; tents (including temporary canopies and similar articles); sails for boats, sailboards or landcraft; camping goods: Pneumatic mattresses</t>
  </si>
  <si>
    <t>CHAPTER 63 - OTHER MADE-UP TEXTILE ARTICLES; SETS; WORN CLOTHING AND WORN TEXTILE ARTICLES; RAGS: Tarpaulins, awnings and sunblinds; tents; sails for boats, sailboards or landcraft; camping goods: Pneumatic mattresses</t>
  </si>
  <si>
    <t>CHAPTER 63 - OTHER MADE-UP TEXTILE ARTICLES; SETS; WORN CLOTHING AND WORN TEXTILE ARTICLES; RAGS: Tarpaulins, awnings and sunblinds; tents (including temporary canopies and similar articles); sails for boats, sailboards or landcraft; camping goods: Other</t>
  </si>
  <si>
    <t>CHAPTER 63 - OTHER MADE-UP TEXTILE ARTICLES; SETS; WORN CLOTHING AND WORN TEXTILE ARTICLES; RAGS: Tarpaulins, awnings and sunblinds; tents; sails for boats, sailboards or landcraft; camping goods: Other</t>
  </si>
  <si>
    <t>Tiles, cubes and similar articles, whether or not rectangular (including square), the largest face of which is capable of being enclosed in a square the side of which is less than 7 cm; artificially coloured granules, chippings and powder</t>
  </si>
  <si>
    <t>Tiles, cubes and similar articles, whether or not rectangular (including square), the largest surface area of which is capable of being enclosed in a square the side of which is less than 7 cm; artificially coloured granules, chippings and powder</t>
  </si>
  <si>
    <t>CHAPTER 68 - ARTICLES OF STONE, PLASTER, CEMENT, ASBESTOS, MICA OR SIMILAR MATERIALS: Worked monumental or building stone (except slate) and articles thereof, other than goods of heading 6801; mosaic cubes and the like, of natural stone (including slate), whether or not on a backing; artificially coloured granules, chippings and powder, of natural stone (including slate): Tiles, cubes and similar articles, whether or not rectangular (including square), the largest face of which is capable of being enclosed in a square the side of which is less than 7 cm; artificially coloured granules, chippings and powder</t>
  </si>
  <si>
    <t>CHAPTER 68 - ARTICLES OF STONE, PLASTER, CEMENT, ASBESTOS, MICA OR SIMILAR MATERIALS: Worked monumental or building stone (except slate) and articles thereof, other than goods of heading 6801; mosaic cubes and the like, of natural stone (including slate), whether or not on a backing; artificially coloured granules, chippings and powder, of natural stone (including slate): Tiles, cubes and similar articles, whether or not rectangular (including square), the largest surface area of which is capable of being enclosed in a square the side of which is less than 7 cm; artificially coloured granules, chippings and powder</t>
  </si>
  <si>
    <t>Containing magnesite, magnesia in the form of periclase, dolomite including in the form of dolime, or chromite</t>
  </si>
  <si>
    <t>Containing magnesite, dolomite or chromite</t>
  </si>
  <si>
    <t>CHAPTER 68 - ARTICLES OF STONE, PLASTER, CEMENT, ASBESTOS, MICA OR SIMILAR MATERIALS: Articles of stone or of other mineral substances (including carbon fibres, articles of carbon fibres and articles of peat), not elsewhere specified or included: Other articles: Containing magnesite, magnesia in the form of periclase, dolomite including in the form of dolime, or chromite</t>
  </si>
  <si>
    <t>CHAPTER 68 - ARTICLES OF STONE, PLASTER, CEMENT, ASBESTOS, MICA OR SIMILAR MATERIALS: Articles of stone or of other mineral substances (including carbon fibres, articles of carbon fibres and articles of peat), not elsewhere specified or included: Other articles: Containing magnesite, dolomite or chromite</t>
  </si>
  <si>
    <t>Containing, by weight, more than 50 % of free carbon</t>
  </si>
  <si>
    <t>Containing, by weight, more than 50 % of graphite or other carbon or of a mixture of these products</t>
  </si>
  <si>
    <t>CHAPTER 69 - CERAMIC PRODUCTS: Other refractory ceramic goods (for example, retorts, crucibles, muffles, nozzles, plugs, supports, cupels, tubes, pipes, sheaths, rods and slide gates), other than those of siliceous fossil meals or of similar siliceous earths: Containing, by weight, more than 50 % of free carbon</t>
  </si>
  <si>
    <t>CHAPTER 69 - CERAMIC PRODUCTS: Other refractory ceramic goods (for example, retorts, crucibles, muffles, nozzles, plugs, supports, cupels, tubes, pipes, sheaths and rods), other than those of siliceous fossil meals or of similar siliceous earths: Containing, by weight, more than 50 % of graphite or other carbon or of a mixture of these products</t>
  </si>
  <si>
    <t>Containing, by weight, less than 45 % of alumina (Al2O3)</t>
  </si>
  <si>
    <t>CHAPTER 69 - CERAMIC PRODUCTS: Other refractory ceramic goods (for example, retorts, crucibles, muffles, nozzles, plugs, supports, cupels, tubes, pipes, sheaths, rods and slide gates), other than those of siliceous fossil meals or of similar siliceous earths: Containing, by weight, more than 50 % of alumina (Al2O3) or of a mixture or compound of alumina and of silica (SiO2): Containing, by weight, less than 45 % of alumina (Al2O3)</t>
  </si>
  <si>
    <t>CHAPTER 69 - CERAMIC PRODUCTS: Other refractory ceramic goods (for example, retorts, crucibles, muffles, nozzles, plugs, supports, cupels, tubes, pipes, sheaths and rods), other than those of siliceous fossil meals or of similar siliceous earths: Containing, by weight, more than 50 % of alumina (Al2O3) or of a mixture or compound of alumina and of silica (SiO2): Containing, by weight, less than 45 % of alumina (Al2O3)</t>
  </si>
  <si>
    <t>Containing, by weight, 45 % or more of alumina (Al2O3)</t>
  </si>
  <si>
    <t>CHAPTER 69 - CERAMIC PRODUCTS: Other refractory ceramic goods (for example, retorts, crucibles, muffles, nozzles, plugs, supports, cupels, tubes, pipes, sheaths, rods and slide gates), other than those of siliceous fossil meals or of similar siliceous earths: Containing, by weight, more than 50 % of alumina (Al2O3) or of a mixture or compound of alumina and of silica (SiO2): Containing, by weight, 45 % or more of alumina (Al2O3)</t>
  </si>
  <si>
    <t>CHAPTER 69 - CERAMIC PRODUCTS: Other refractory ceramic goods (for example, retorts, crucibles, muffles, nozzles, plugs, supports, cupels, tubes, pipes, sheaths and rods), other than those of siliceous fossil meals or of similar siliceous earths: Containing, by weight, more than 50 % of alumina (Al2O3) or of a mixture or compound of alumina and of silica (SiO2): Containing, by weight, 45 % or more of alumina (Al2O3)</t>
  </si>
  <si>
    <t>Containing, by weight, more than 25 % but not more than 50 % of graphite or other carbon or of a mixture of these products</t>
  </si>
  <si>
    <t>CHAPTER 69 - CERAMIC PRODUCTS: Other refractory ceramic goods (for example, retorts, crucibles, muffles, nozzles, plugs, supports, cupels, tubes, pipes, sheaths, rods and slide gates), other than those of siliceous fossil meals or of similar siliceous earths: Other: Containing, by weight, more than 25 % but not more than 50 % of graphite or other carbon or of a mixture of these products</t>
  </si>
  <si>
    <t>CHAPTER 69 - CERAMIC PRODUCTS: Other refractory ceramic goods (for example, retorts, crucibles, muffles, nozzles, plugs, supports, cupels, tubes, pipes, sheaths and rods), other than those of siliceous fossil meals or of similar siliceous earths: Other: Containing, by weight, more than 25 % but not more than 50 % of graphite or other carbon or of a mixture of these products</t>
  </si>
  <si>
    <t>CHAPTER 69 - CERAMIC PRODUCTS: Other refractory ceramic goods (for example, retorts, crucibles, muffles, nozzles, plugs, supports, cupels, tubes, pipes, sheaths, rods and slide gates), other than those of siliceous fossil meals or of similar siliceous earths: Other: Other</t>
  </si>
  <si>
    <t>CHAPTER 69 - CERAMIC PRODUCTS: Other refractory ceramic goods (for example, retorts, crucibles, muffles, nozzles, plugs, supports, cupels, tubes, pipes, sheaths and rods), other than those of siliceous fossil meals or of similar siliceous earths: Other: Other</t>
  </si>
  <si>
    <t>Cullet and other waste and scrap of glass</t>
  </si>
  <si>
    <t>CHAPTER 70 - GLASS AND GLASSWARE: Cullet and other waste and scrap of glass, excluding glass from cathode-ray tubes or other activated glass of heading 8549; glass in the mass: Cullet and other waste and scrap of glass</t>
  </si>
  <si>
    <t>CHAPTER 70 - GLASS AND GLASSWARE: Cullet and other waste and scrap of glass; glass in the mass: Cullet and other waste and scrap of glass</t>
  </si>
  <si>
    <t>Optical glass</t>
  </si>
  <si>
    <t>CHAPTER 70 - GLASS AND GLASSWARE: Cullet and other waste and scrap of glass, excluding glass from cathode-ray tubes or other activated glass of heading 8549; glass in the mass: Glass in the mass: Optical glass</t>
  </si>
  <si>
    <t>CHAPTER 70 - GLASS AND GLASSWARE: Cullet and other waste and scrap of glass; glass in the mass: Glass in the mass: Optical glass</t>
  </si>
  <si>
    <t>CHAPTER 70 - GLASS AND GLASSWARE: Cullet and other waste and scrap of glass, excluding glass from cathode-ray tubes or other activated glass of heading 8549; glass in the mass: Glass in the mass: Other</t>
  </si>
  <si>
    <t>CHAPTER 70 - GLASS AND GLASSWARE: Cullet and other waste and scrap of glass; glass in the mass: Glass in the mass: Other</t>
  </si>
  <si>
    <t>For electric lighting</t>
  </si>
  <si>
    <t>CHAPTER 70 - GLASS AND GLASSWARE: Glass envelopes (including bulbs and tubes), open, and glass parts thereof, without fittings, for electric lamps and light sources, cathode-ray tubes or the like: For electric lighting</t>
  </si>
  <si>
    <t>CHAPTER 70 - GLASS AND GLASSWARE: Glass envelopes (including bulbs and tubes), open, and glass parts thereof, without fittings, for electric lamps, cathode ray tubes or the like: For electric lighting</t>
  </si>
  <si>
    <t>For cathode-ray tubes</t>
  </si>
  <si>
    <t>For cathode ray tubes</t>
  </si>
  <si>
    <t>CHAPTER 70 - GLASS AND GLASSWARE: Glass envelopes (including bulbs and tubes), open, and glass parts thereof, without fittings, for electric lamps and light sources, cathode-ray tubes or the like: For cathode-ray tubes</t>
  </si>
  <si>
    <t>CHAPTER 70 - GLASS AND GLASSWARE: Glass envelopes (including bulbs and tubes), open, and glass parts thereof, without fittings, for electric lamps, cathode ray tubes or the like: For cathode ray tubes</t>
  </si>
  <si>
    <t>CHAPTER 70 - GLASS AND GLASSWARE: Glass envelopes (including bulbs and tubes), open, and glass parts thereof, without fittings, for electric lamps and light sources, cathode-ray tubes or the like: Other</t>
  </si>
  <si>
    <t>CHAPTER 70 - GLASS AND GLASSWARE: Glass envelopes (including bulbs and tubes), open, and glass parts thereof, without fittings, for electric lamps, cathode ray tubes or the like: Other</t>
  </si>
  <si>
    <t>Chopped strands, of a length of not more than 50 mm</t>
  </si>
  <si>
    <t>CHAPTER 70 - GLASS AND GLASSWARE: Glass fibres (including glass wool) and articles thereof (for example, yarn, rovings, woven fabrics): Slivers, rovings, yarn and chopped strands and mats thereof: Chopped strands, of a length of not more than 50 mm</t>
  </si>
  <si>
    <t>CHAPTER 70 - GLASS AND GLASSWARE: Glass fibres (including glass wool) and articles thereof (for example, yarn, woven fabrics): Slivers, rovings, yarn and chopped strands: Chopped strands, of a length of not more than 50 mm</t>
  </si>
  <si>
    <t>Rovings</t>
  </si>
  <si>
    <t>CHAPTER 70 - GLASS AND GLASSWARE: Glass fibres (including glass wool) and articles thereof (for example, yarn, rovings, woven fabrics): Slivers, rovings, yarn and chopped strands and mats thereof: Rovings</t>
  </si>
  <si>
    <t>CHAPTER 70 - GLASS AND GLASSWARE: Glass fibres (including glass wool) and articles thereof (for example, yarn, woven fabrics): Slivers, rovings, yarn and chopped strands: Rovings</t>
  </si>
  <si>
    <t>CHAPTER 70 - GLASS AND GLASSWARE: Glass fibres (including glass wool) and articles thereof (for example, yarn, rovings, woven fabrics): Other</t>
  </si>
  <si>
    <t>CHAPTER 70 - GLASS AND GLASSWARE: Glass fibres (including glass wool) and articles thereof (for example, yarn, woven fabrics): Other</t>
  </si>
  <si>
    <t>Ash containing precious metal or precious-metal compounds</t>
  </si>
  <si>
    <t>CHAPTER 71 - NATURAL OR CULTURED PEARLS, PRECIOUS OR SEMI-PRECIOUS STONES, PRECIOUS METALS, METALS CLAD WITH PRECIOUS METAL, AND ARTICLES THEREOF; IMITATION JEWELLERY; COIN: Waste and scrap of precious metal or of metal clad with precious metal; other waste and scrap containing precious metal or precious-metal compounds, of a kind used principally for the recovery of precious metal other than goods of heading 8549: Ash containing precious metal or precious-metal compounds</t>
  </si>
  <si>
    <t>CHAPTER 71 - NATURAL OR CULTURED PEARLS, PRECIOUS OR SEMI-PRECIOUS STONES, PRECIOUS METALS, METALS CLAD WITH PRECIOUS METAL, AND ARTICLES THEREOF; IMITATION JEWELLERY; COIN: Waste and scrap of precious metal or of metal clad with precious metal; other waste and scrap containing precious metal or precious-metal compounds, of a kind used principally for the recovery of precious metal: Ash containing precious metal or precious-metal compounds</t>
  </si>
  <si>
    <t>Of gold, including metal clad with gold but excluding sweepings containing other precious metals</t>
  </si>
  <si>
    <t>CHAPTER 71 - NATURAL OR CULTURED PEARLS, PRECIOUS OR SEMI-PRECIOUS STONES, PRECIOUS METALS, METALS CLAD WITH PRECIOUS METAL, AND ARTICLES THEREOF; IMITATION JEWELLERY; COIN: Waste and scrap of precious metal or of metal clad with precious metal; other waste and scrap containing precious metal or precious-metal compounds, of a kind used principally for the recovery of precious metal other than goods of heading 8549: Other: Of gold, including metal clad with gold but excluding sweepings containing other precious metals</t>
  </si>
  <si>
    <t>CHAPTER 71 - NATURAL OR CULTURED PEARLS, PRECIOUS OR SEMI-PRECIOUS STONES, PRECIOUS METALS, METALS CLAD WITH PRECIOUS METAL, AND ARTICLES THEREOF; IMITATION JEWELLERY; COIN: Waste and scrap of precious metal or of metal clad with precious metal; other waste and scrap containing precious metal or precious-metal compounds, of a kind used principally for the recovery of precious metal: Other: Of gold, including metal clad with gold but excluding sweepings containing other precious metals</t>
  </si>
  <si>
    <t>Of platinum, including metal clad with platinum but excluding sweepings containing other precious metals</t>
  </si>
  <si>
    <t>CHAPTER 71 - NATURAL OR CULTURED PEARLS, PRECIOUS OR SEMI-PRECIOUS STONES, PRECIOUS METALS, METALS CLAD WITH PRECIOUS METAL, AND ARTICLES THEREOF; IMITATION JEWELLERY; COIN: Waste and scrap of precious metal or of metal clad with precious metal; other waste and scrap containing precious metal or precious-metal compounds, of a kind used principally for the recovery of precious metal other than goods of heading 8549: Other: Of platinum, including metal clad with platinum but excluding sweepings containing other precious metals</t>
  </si>
  <si>
    <t>CHAPTER 71 - NATURAL OR CULTURED PEARLS, PRECIOUS OR SEMI-PRECIOUS STONES, PRECIOUS METALS, METALS CLAD WITH PRECIOUS METAL, AND ARTICLES THEREOF; IMITATION JEWELLERY; COIN: Waste and scrap of precious metal or of metal clad with precious metal; other waste and scrap containing precious metal or precious-metal compounds, of a kind used principally for the recovery of precious metal: Other: Of platinum, including metal clad with platinum but excluding sweepings containing other precious metals</t>
  </si>
  <si>
    <t>CHAPTER 71 - NATURAL OR CULTURED PEARLS, PRECIOUS OR SEMI-PRECIOUS STONES, PRECIOUS METALS, METALS CLAD WITH PRECIOUS METAL, AND ARTICLES THEREOF; IMITATION JEWELLERY; COIN: Waste and scrap of precious metal or of metal clad with precious metal; other waste and scrap containing precious metal or precious-metal compounds, of a kind used principally for the recovery of precious metal other than goods of heading 8549: Other: Other</t>
  </si>
  <si>
    <t>CHAPTER 71 - NATURAL OR CULTURED PEARLS, PRECIOUS OR SEMI-PRECIOUS STONES, PRECIOUS METALS, METALS CLAD WITH PRECIOUS METAL, AND ARTICLES THEREOF; IMITATION JEWELLERY; COIN: Waste and scrap of precious metal or of metal clad with precious metal; other waste and scrap containing precious metal or precious-metal compounds, of a kind used principally for the recovery of precious metal: Other: Other</t>
  </si>
  <si>
    <t>Less than 3 mm</t>
  </si>
  <si>
    <t>CHAPTER 76 - ALUMINIUM AND ARTICLES THEREOF: Aluminium plates, sheets and strip, of a thickness exceeding 0,2 mm: Rectangular (including square): Of aluminium, not alloyed: Other: Other, of a thickness of: Less than 3 mm</t>
  </si>
  <si>
    <t>CHAPTER 76 - ALUMINIUM AND ARTICLES THEREOF: Aluminium plates, sheets and strip, of a thickness exceeding 0,2 mm: Rectangular (including square): Of aluminium, not alloyed: Other, of a thickness of: Less than 3 mm</t>
  </si>
  <si>
    <t>Not less than 3 mm but less than 6 mm</t>
  </si>
  <si>
    <t>CHAPTER 76 - ALUMINIUM AND ARTICLES THEREOF: Aluminium plates, sheets and strip, of a thickness exceeding 0,2 mm: Rectangular (including square): Of aluminium, not alloyed: Other: Other, of a thickness of: Not less than 3 mm but less than 6 mm</t>
  </si>
  <si>
    <t>CHAPTER 76 - ALUMINIUM AND ARTICLES THEREOF: Aluminium plates, sheets and strip, of a thickness exceeding 0,2 mm: Rectangular (including square): Of aluminium, not alloyed: Other, of a thickness of: Not less than 3 mm but less than 6 mm</t>
  </si>
  <si>
    <t>Not less than 6 mm</t>
  </si>
  <si>
    <t>CHAPTER 76 - ALUMINIUM AND ARTICLES THEREOF: Aluminium plates, sheets and strip, of a thickness exceeding 0,2 mm: Rectangular (including square): Of aluminium, not alloyed: Other: Other, of a thickness of: Not less than 6 mm</t>
  </si>
  <si>
    <t>CHAPTER 76 - ALUMINIUM AND ARTICLES THEREOF: Aluminium plates, sheets and strip, of a thickness exceeding 0,2 mm: Rectangular (including square): Of aluminium, not alloyed: Other, of a thickness of: Not less than 6 mm</t>
  </si>
  <si>
    <t>Unwrought; powders</t>
  </si>
  <si>
    <t>CHAPTER 81 - OTHER BASE METALS; CERMETS; ARTICLES THEREOF: Beryllium, chromium, hafnium, rhenium, thallium, cadmium, germanium, vanadium, gallium, indium and niobium (columbium), and articles of these metals, including waste and scrap: Beryllium: Unwrought; powders</t>
  </si>
  <si>
    <t>CHAPTER 81 - OTHER BASE METALS; CERMETS; ARTICLES THEREOF: Beryllium, chromium, germanium, vanadium, gallium, hafnium, indium, niobium (columbium), rhenium and thallium, and articles of these metals, including waste and scrap: Beryllium: Unwrought; powders</t>
  </si>
  <si>
    <t>CHAPTER 81 - OTHER BASE METALS; CERMETS; ARTICLES THEREOF: Beryllium, chromium, hafnium, rhenium, thallium, cadmium, germanium, vanadium, gallium, indium and niobium (columbium), and articles of these metals, including waste and scrap: Beryllium: Waste and scrap</t>
  </si>
  <si>
    <t>CHAPTER 81 - OTHER BASE METALS; CERMETS; ARTICLES THEREOF: Beryllium, chromium, germanium, vanadium, gallium, hafnium, indium, niobium (columbium), rhenium and thallium, and articles of these metals, including waste and scrap: Beryllium: Waste and scrap</t>
  </si>
  <si>
    <t>CHAPTER 81 - OTHER BASE METALS; CERMETS; ARTICLES THEREOF: Beryllium, chromium, hafnium, rhenium, thallium, cadmium, germanium, vanadium, gallium, indium and niobium (columbium), and articles of these metals, including waste and scrap: Beryllium: Other</t>
  </si>
  <si>
    <t>CHAPTER 81 - OTHER BASE METALS; CERMETS; ARTICLES THEREOF: Beryllium, chromium, germanium, vanadium, gallium, hafnium, indium, niobium (columbium), rhenium and thallium, and articles of these metals, including waste and scrap: Beryllium: Other</t>
  </si>
  <si>
    <t>Alloys containing more than 10 % by weight of nickel</t>
  </si>
  <si>
    <t>CHAPTER 81 - OTHER BASE METALS; CERMETS; ARTICLES THEREOF: Beryllium, chromium, hafnium, rhenium, thallium, cadmium, germanium, vanadium, gallium, indium and niobium (columbium), and articles of these metals, including waste and scrap: Chromium: Unwrought; powders: Alloys containing more than 10 % by weight of nickel</t>
  </si>
  <si>
    <t>CHAPTER 81 - OTHER BASE METALS; CERMETS; ARTICLES THEREOF: Beryllium, chromium, germanium, vanadium, gallium, hafnium, indium, niobium (columbium), rhenium and thallium, and articles of these metals, including waste and scrap: Chromium: Unwrought; powders: Alloys containing more than 10 % by weight of nickel</t>
  </si>
  <si>
    <t>CHAPTER 81 - OTHER BASE METALS; CERMETS; ARTICLES THEREOF: Beryllium, chromium, hafnium, rhenium, thallium, cadmium, germanium, vanadium, gallium, indium and niobium (columbium), and articles of these metals, including waste and scrap: Chromium: Unwrought; powders: Other</t>
  </si>
  <si>
    <t>CHAPTER 81 - OTHER BASE METALS; CERMETS; ARTICLES THEREOF: Beryllium, chromium, germanium, vanadium, gallium, hafnium, indium, niobium (columbium), rhenium and thallium, and articles of these metals, including waste and scrap: Chromium: Unwrought; powders: Other</t>
  </si>
  <si>
    <t>CHAPTER 81 - OTHER BASE METALS; CERMETS; ARTICLES THEREOF: Beryllium, chromium, hafnium, rhenium, thallium, cadmium, germanium, vanadium, gallium, indium and niobium (columbium), and articles of these metals, including waste and scrap: Chromium: Waste and scrap</t>
  </si>
  <si>
    <t>CHAPTER 81 - OTHER BASE METALS; CERMETS; ARTICLES THEREOF: Beryllium, chromium, germanium, vanadium, gallium, hafnium, indium, niobium (columbium), rhenium and thallium, and articles of these metals, including waste and scrap: Chromium: Waste and scrap</t>
  </si>
  <si>
    <t>CHAPTER 81 - OTHER BASE METALS; CERMETS; ARTICLES THEREOF: Beryllium, chromium, hafnium, rhenium, thallium, cadmium, germanium, vanadium, gallium, indium and niobium (columbium), and articles of these metals, including waste and scrap: Chromium: Other</t>
  </si>
  <si>
    <t>CHAPTER 81 - OTHER BASE METALS; CERMETS; ARTICLES THEREOF: Beryllium, chromium, germanium, vanadium, gallium, hafnium, indium, niobium (columbium), rhenium and thallium, and articles of these metals, including waste and scrap: Chromium: Other</t>
  </si>
  <si>
    <t>CHAPTER 81 - OTHER BASE METALS; CERMETS; ARTICLES THEREOF: Beryllium, chromium, hafnium, rhenium, thallium, cadmium, germanium, vanadium, gallium, indium and niobium (columbium), and articles of these metals, including waste and scrap: Thallium: Unwrought; powders</t>
  </si>
  <si>
    <t>CHAPTER 81 - OTHER BASE METALS; CERMETS; ARTICLES THEREOF: Beryllium, chromium, germanium, vanadium, gallium, hafnium, indium, niobium (columbium), rhenium and thallium, and articles of these metals, including waste and scrap: Thallium: Unwrought; powders</t>
  </si>
  <si>
    <t>CHAPTER 81 - OTHER BASE METALS; CERMETS; ARTICLES THEREOF: Beryllium, chromium, hafnium, rhenium, thallium, cadmium, germanium, vanadium, gallium, indium and niobium (columbium), and articles of these metals, including waste and scrap: Thallium: Waste and scrap</t>
  </si>
  <si>
    <t>CHAPTER 81 - OTHER BASE METALS; CERMETS; ARTICLES THEREOF: Beryllium, chromium, germanium, vanadium, gallium, hafnium, indium, niobium (columbium), rhenium and thallium, and articles of these metals, including waste and scrap: Thallium: Waste and scrap</t>
  </si>
  <si>
    <t>CHAPTER 81 - OTHER BASE METALS; CERMETS; ARTICLES THEREOF: Beryllium, chromium, hafnium, rhenium, thallium, cadmium, germanium, vanadium, gallium, indium and niobium (columbium), and articles of these metals, including waste and scrap: Thallium: Other</t>
  </si>
  <si>
    <t>CHAPTER 81 - OTHER BASE METALS; CERMETS; ARTICLES THEREOF: Beryllium, chromium, germanium, vanadium, gallium, hafnium, indium, niobium (columbium), rhenium and thallium, and articles of these metals, including waste and scrap: Thallium: Other</t>
  </si>
  <si>
    <t>CHAPTER 81 - OTHER BASE METALS; CERMETS; ARTICLES THEREOF: Beryllium, chromium, hafnium, rhenium, thallium, cadmium, germanium, vanadium, gallium, indium and niobium (columbium), and articles of these metals, including waste and scrap: Other: Unwrought; waste and scrap; powders: Niobium (columbium); gallium; indium; vanadium; germanium: Waste and scrap</t>
  </si>
  <si>
    <t>CHAPTER 81 - OTHER BASE METALS; CERMETS; ARTICLES THEREOF: Beryllium, chromium, germanium, vanadium, gallium, hafnium, indium, niobium (columbium), rhenium and thallium, and articles of these metals, including waste and scrap: Other: Unwrought; waste and scrap; powders: Niobium (columbium); rhenium; gallium; indium; vanadium; germanium: Waste and scrap</t>
  </si>
  <si>
    <t>Indium</t>
  </si>
  <si>
    <t>CHAPTER 81 - OTHER BASE METALS; CERMETS; ARTICLES THEREOF: Beryllium, chromium, hafnium, rhenium, thallium, cadmium, germanium, vanadium, gallium, indium and niobium (columbium), and articles of these metals, including waste and scrap: Other: Unwrought; waste and scrap; powders: Niobium (columbium); gallium; indium; vanadium; germanium: Other: Indium</t>
  </si>
  <si>
    <t>CHAPTER 81 - OTHER BASE METALS; CERMETS; ARTICLES THEREOF: Beryllium, chromium, germanium, vanadium, gallium, hafnium, indium, niobium (columbium), rhenium and thallium, and articles of these metals, including waste and scrap: Other: Unwrought; waste and scrap; powders: Niobium (columbium); rhenium; gallium; indium; vanadium; germanium: Other: Indium</t>
  </si>
  <si>
    <t>Gallium</t>
  </si>
  <si>
    <t>CHAPTER 81 - OTHER BASE METALS; CERMETS; ARTICLES THEREOF: Beryllium, chromium, hafnium, rhenium, thallium, cadmium, germanium, vanadium, gallium, indium and niobium (columbium), and articles of these metals, including waste and scrap: Other: Unwrought; waste and scrap; powders: Niobium (columbium); gallium; indium; vanadium; germanium: Other: Gallium</t>
  </si>
  <si>
    <t>CHAPTER 81 - OTHER BASE METALS; CERMETS; ARTICLES THEREOF: Beryllium, chromium, germanium, vanadium, gallium, hafnium, indium, niobium (columbium), rhenium and thallium, and articles of these metals, including waste and scrap: Other: Unwrought; waste and scrap; powders: Niobium (columbium); rhenium; gallium; indium; vanadium; germanium: Other: Gallium</t>
  </si>
  <si>
    <t>Vanadium</t>
  </si>
  <si>
    <t>CHAPTER 81 - OTHER BASE METALS; CERMETS; ARTICLES THEREOF: Beryllium, chromium, hafnium, rhenium, thallium, cadmium, germanium, vanadium, gallium, indium and niobium (columbium), and articles of these metals, including waste and scrap: Other: Unwrought; waste and scrap; powders: Niobium (columbium); gallium; indium; vanadium; germanium: Other: Vanadium</t>
  </si>
  <si>
    <t>CHAPTER 81 - OTHER BASE METALS; CERMETS; ARTICLES THEREOF: Beryllium, chromium, germanium, vanadium, gallium, hafnium, indium, niobium (columbium), rhenium and thallium, and articles of these metals, including waste and scrap: Other: Unwrought; waste and scrap; powders: Niobium (columbium); rhenium; gallium; indium; vanadium; germanium: Other: Vanadium</t>
  </si>
  <si>
    <t>CHAPTER 81 - OTHER BASE METALS; CERMETS; ARTICLES THEREOF: Beryllium, chromium, hafnium, rhenium, thallium, cadmium, germanium, vanadium, gallium, indium and niobium (columbium), and articles of these metals, including waste and scrap: Other: Unwrought; waste and scrap; powders: Niobium (columbium); gallium; indium; vanadium; germanium: Other: Germanium</t>
  </si>
  <si>
    <t>CHAPTER 81 - OTHER BASE METALS; CERMETS; ARTICLES THEREOF: Beryllium, chromium, germanium, vanadium, gallium, hafnium, indium, niobium (columbium), rhenium and thallium, and articles of these metals, including waste and scrap: Other: Unwrought; waste and scrap; powders: Niobium (columbium); rhenium; gallium; indium; vanadium; germanium: Other: Germanium</t>
  </si>
  <si>
    <t>Gallium; indium; vanadium</t>
  </si>
  <si>
    <t>CHAPTER 81 - OTHER BASE METALS; CERMETS; ARTICLES THEREOF: Beryllium, chromium, hafnium, rhenium, thallium, cadmium, germanium, vanadium, gallium, indium and niobium (columbium), and articles of these metals, including waste and scrap: Other: Other: Gallium; indium; vanadium</t>
  </si>
  <si>
    <t>CHAPTER 81 - OTHER BASE METALS; CERMETS; ARTICLES THEREOF: Beryllium, chromium, germanium, vanadium, gallium, hafnium, indium, niobium (columbium), rhenium and thallium, and articles of these metals, including waste and scrap: Other: Other: Gallium; indium; vanadium</t>
  </si>
  <si>
    <t>Of a kind used for the manufacture of semiconductors or solely or principally used for the manufacture of flat panel displays</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</si>
  <si>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Vacuum pumps: Of a kind used for the manufacture of semiconductors or solely or principally used for the manufacture of flat panel displays</t>
  </si>
  <si>
    <t>CHAPTER 84 - NUCLEAR REACTORS, BOILERS, MACHINERY AND MECHANICAL APPLIANCES; PARTS THEREOF: Air or vacuum pumps, air or other gas compressors and fans; ventilating or recycling hoods incorporating a fan, whether or not fitted with filters: Vacuum pumps: Of a kind used for the manufacture of semiconductors or solely or principally used for the manufacture of flat panel displays</t>
  </si>
  <si>
    <t>Rotary piston pumps, sliding vane rotary pumps, molecular drag pumps and Roots pumps</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</si>
  <si>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Vacuum pumps: Other: Rotary piston pumps, sliding vane rotary pumps, molecular drag pumps and Roots pumps</t>
  </si>
  <si>
    <t>CHAPTER 84 - NUCLEAR REACTORS, BOILERS, MACHINERY AND MECHANICAL APPLIANCES; PARTS THEREOF: Air or vacuum pumps, air or other gas compressors and fans; ventilating or recycling hoods incorporating a fan, whether or not fitted with filters: Vacuum pumps: Other: Rotary piston pumps, sliding vane rotary pumps, molecular drag pumps and Roots pumps</t>
  </si>
  <si>
    <t>Diffusion pumps, cryopumps and adsorption pumps</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</si>
  <si>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Vacuum pumps: Other: Other: Diffusion pumps, cryopumps and adsorption pumps</t>
  </si>
  <si>
    <t>CHAPTER 84 - NUCLEAR REACTORS, BOILERS, MACHINERY AND MECHANICAL APPLIANCES; PARTS THEREOF: Air or vacuum pumps, air or other gas compressors and fans; ventilating or recycling hoods incorporating a fan, whether or not fitted with filters: Vacuum pumps: Other: Other: Diffusion pumps, cryopumps and adsorption pumps</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</si>
  <si>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Vacuum pumps: Other: Other: Other</t>
  </si>
  <si>
    <t>CHAPTER 84 - NUCLEAR REACTORS, BOILERS, MACHINERY AND MECHANICAL APPLIANCES; PARTS THEREOF: Air or vacuum pumps, air or other gas compressors and fans; ventilating or recycling hoods incorporating a fan, whether or not fitted with filters: Vacuum pumps: Other: Other: Other</t>
  </si>
  <si>
    <t>Handpumps for cycles</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</si>
  <si>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Hand- or foot-operated air pumps: Handpumps for cycles</t>
  </si>
  <si>
    <t>CHAPTER 84 - NUCLEAR REACTORS, BOILERS, MACHINERY AND MECHANICAL APPLIANCES; PARTS THEREOF: Air or vacuum pumps, air or other gas compressors and fans; ventilating or recycling hoods incorporating a fan, whether or not fitted with filters: Hand- or foot-operated air pumps: Handpumps for cycles</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</si>
  <si>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Hand- or foot-operated air pumps: Other</t>
  </si>
  <si>
    <t>CHAPTER 84 - NUCLEAR REACTORS, BOILERS, MACHINERY AND MECHANICAL APPLIANCES; PARTS THEREOF: Air or vacuum pumps, air or other gas compressors and fans; ventilating or recycling hoods incorporating a fan, whether or not fitted with filters: Hand- or foot-operated air pumps: Other</t>
  </si>
  <si>
    <t>Of a power not exceeding 0,4 kW</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</si>
  <si>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Compressors of a kind used in refrigerating equipment: Of a power not exceeding 0,4 kW</t>
  </si>
  <si>
    <t>CHAPTER 84 - NUCLEAR REACTORS, BOILERS, MACHINERY AND MECHANICAL APPLIANCES; PARTS THEREOF: Air or vacuum pumps, air or other gas compressors and fans; ventilating or recycling hoods incorporating a fan, whether or not fitted with filters: Compressors of a kind used in refrigerating equipment: Of a power not exceeding 0,4 kW</t>
  </si>
  <si>
    <t>Hermetic or semi-hermetic</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</si>
  <si>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Compressors of a kind used in refrigerating equipment: Of a power exceeding 0,4 kW: Hermetic or semi-hermetic</t>
  </si>
  <si>
    <t>CHAPTER 84 - NUCLEAR REACTORS, BOILERS, MACHINERY AND MECHANICAL APPLIANCES; PARTS THEREOF: Air or vacuum pumps, air or other gas compressors and fans; ventilating or recycling hoods incorporating a fan, whether or not fitted with filters: Compressors of a kind used in refrigerating equipment: Of a power exceeding 0,4 kW: Hermetic or semi-hermetic</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</si>
  <si>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Compressors of a kind used in refrigerating equipment: Of a power exceeding 0,4 kW: Other</t>
  </si>
  <si>
    <t>CHAPTER 84 - NUCLEAR REACTORS, BOILERS, MACHINERY AND MECHANICAL APPLIANCES; PARTS THEREOF: Air or vacuum pumps, air or other gas compressors and fans; ventilating or recycling hoods incorporating a fan, whether or not fitted with filters: Compressors of a kind used in refrigerating equipment: Of a power exceeding 0,4 kW: Other</t>
  </si>
  <si>
    <t>Giving a flow per minute not exceeding 2 m³</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</si>
  <si>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Air compressors mounted on a wheeled chassis for towing: Giving a flow per minute not exceeding 2 m³</t>
  </si>
  <si>
    <t>CHAPTER 84 - NUCLEAR REACTORS, BOILERS, MACHINERY AND MECHANICAL APPLIANCES; PARTS THEREOF: Air or vacuum pumps, air or other gas compressors and fans; ventilating or recycling hoods incorporating a fan, whether or not fitted with filters: Air compressors mounted on a wheeled chassis for towing: Giving a flow per minute not exceeding 2 m³</t>
  </si>
  <si>
    <t>Giving a flow per minute exceeding 2 m³</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</si>
  <si>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Air compressors mounted on a wheeled chassis for towing: Giving a flow per minute exceeding 2 m³</t>
  </si>
  <si>
    <t>CHAPTER 84 - NUCLEAR REACTORS, BOILERS, MACHINERY AND MECHANICAL APPLIANCES; PARTS THEREOF: Air or vacuum pumps, air or other gas compressors and fans; ventilating or recycling hoods incorporating a fan, whether or not fitted with filters: Air compressors mounted on a wheeled chassis for towing: Giving a flow per minute exceeding 2 m³</t>
  </si>
  <si>
    <t>Table, floor, wall, window, ceiling or roof fans, with a self-contained electric motor of an output not exceeding 125 W</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</si>
  <si>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Fans: Table, floor, wall, window, ceiling or roof fans, with a self-contained electric motor of an output not exceeding 125 W</t>
  </si>
  <si>
    <t>CHAPTER 84 - NUCLEAR REACTORS, BOILERS, MACHINERY AND MECHANICAL APPLIANCES; PARTS THEREOF: Air or vacuum pumps, air or other gas compressors and fans; ventilating or recycling hoods incorporating a fan, whether or not fitted with filters: Fans: Table, floor, wall, window, ceiling or roof fans, with a self-contained electric motor of an output not exceeding 125 W</t>
  </si>
  <si>
    <t>Fans of a kind used solely or principally for cooling microprocessors, telecommunication apparatus, automatic data processing machines or units of automatic data processing machines</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</si>
  <si>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Fans: Other: Fans of a kind used solely or principally for cooling microprocessors, telecommunication apparatus, automatic data processing machines or units of automatic data processing machines</t>
  </si>
  <si>
    <t>CHAPTER 84 - NUCLEAR REACTORS, BOILERS, MACHINERY AND MECHANICAL APPLIANCES; PARTS THEREOF: Air or vacuum pumps, air or other gas compressors and fans; ventilating or recycling hoods incorporating a fan, whether or not fitted with filters: Fans: Other: Fans of a kind used solely or principally for cooling microprocessors, telecommunication apparatus, automatic data processing machines or units of automatic data processing machines</t>
  </si>
  <si>
    <t>Axial fans</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</si>
  <si>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Fans: Other: Other: Axial fans</t>
  </si>
  <si>
    <t>CHAPTER 84 - NUCLEAR REACTORS, BOILERS, MACHINERY AND MECHANICAL APPLIANCES; PARTS THEREOF: Air or vacuum pumps, air or other gas compressors and fans; ventilating or recycling hoods incorporating a fan, whether or not fitted with filters: Fans: Other: Other: Axial fans</t>
  </si>
  <si>
    <t>Centrifugal fans</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</si>
  <si>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Fans: Other: Other: Centrifugal fans</t>
  </si>
  <si>
    <t>CHAPTER 84 - NUCLEAR REACTORS, BOILERS, MACHINERY AND MECHANICAL APPLIANCES; PARTS THEREOF: Air or vacuum pumps, air or other gas compressors and fans; ventilating or recycling hoods incorporating a fan, whether or not fitted with filters: Fans: Other: Other: Centrifugal fans</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</si>
  <si>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Fans: Other: Other: Other</t>
  </si>
  <si>
    <t>CHAPTER 84 - NUCLEAR REACTORS, BOILERS, MACHINERY AND MECHANICAL APPLIANCES; PARTS THEREOF: Air or vacuum pumps, air or other gas compressors and fans; ventilating or recycling hoods incorporating a fan, whether or not fitted with filters: Fans: Other: Other: Other</t>
  </si>
  <si>
    <t>Hoods having a maximum horizontal side not exceeding 120 cm</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</si>
  <si>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Hoods having a maximum horizontal side not exceeding 120 cm</t>
  </si>
  <si>
    <t>CHAPTER 84 - NUCLEAR REACTORS, BOILERS, MACHINERY AND MECHANICAL APPLIANCES; PARTS THEREOF: Air or vacuum pumps, air or other gas compressors and fans; ventilating or recycling hoods incorporating a fan, whether or not fitted with filters: Hoods having a maximum horizontal side not exceeding 120 cm</t>
  </si>
  <si>
    <t>Single-stage</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</si>
  <si>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Other: Turbo-compressors: Single-stage</t>
  </si>
  <si>
    <t>CHAPTER 84 - NUCLEAR REACTORS, BOILERS, MACHINERY AND MECHANICAL APPLIANCES; PARTS THEREOF: Air or vacuum pumps, air or other gas compressors and fans; ventilating or recycling hoods incorporating a fan, whether or not fitted with filters: Other: Turbo-compressors: Single-stage</t>
  </si>
  <si>
    <t>Multi-stage</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</si>
  <si>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Other: Turbo-compressors: Multi-stage</t>
  </si>
  <si>
    <t>CHAPTER 84 - NUCLEAR REACTORS, BOILERS, MACHINERY AND MECHANICAL APPLIANCES; PARTS THEREOF: Air or vacuum pumps, air or other gas compressors and fans; ventilating or recycling hoods incorporating a fan, whether or not fitted with filters: Other: Turbo-compressors: Multi-stage</t>
  </si>
  <si>
    <t>Not exceeding 60 m³</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</si>
  <si>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Other: Reciprocating displacement compressors, having a gauge pressure capacity of: Not exceeding 15 bar, giving a flow per hour: Not exceeding 60 m³</t>
  </si>
  <si>
    <t>CHAPTER 84 - NUCLEAR REACTORS, BOILERS, MACHINERY AND MECHANICAL APPLIANCES; PARTS THEREOF: Air or vacuum pumps, air or other gas compressors and fans; ventilating or recycling hoods incorporating a fan, whether or not fitted with filters: Other: Reciprocating displacement compressors, having a gauge pressure capacity of: Not exceeding 15 bar, giving a flow per hour: Not exceeding 60 m³</t>
  </si>
  <si>
    <t>Exceeding 60 m³</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</si>
  <si>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Other: Reciprocating displacement compressors, having a gauge pressure capacity of: Not exceeding 15 bar, giving a flow per hour: Exceeding 60 m³</t>
  </si>
  <si>
    <t>CHAPTER 84 - NUCLEAR REACTORS, BOILERS, MACHINERY AND MECHANICAL APPLIANCES; PARTS THEREOF: Air or vacuum pumps, air or other gas compressors and fans; ventilating or recycling hoods incorporating a fan, whether or not fitted with filters: Other: Reciprocating displacement compressors, having a gauge pressure capacity of: Not exceeding 15 bar, giving a flow per hour: Exceeding 60 m³</t>
  </si>
  <si>
    <t>Not exceeding 120 m³</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</si>
  <si>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Other: Reciprocating displacement compressors, having a gauge pressure capacity of: Exceeding 15 bar, giving a flow per hour: Not exceeding 120 m³</t>
  </si>
  <si>
    <t>CHAPTER 84 - NUCLEAR REACTORS, BOILERS, MACHINERY AND MECHANICAL APPLIANCES; PARTS THEREOF: Air or vacuum pumps, air or other gas compressors and fans; ventilating or recycling hoods incorporating a fan, whether or not fitted with filters: Other: Reciprocating displacement compressors, having a gauge pressure capacity of: Exceeding 15 bar, giving a flow per hour: Not exceeding 120 m³</t>
  </si>
  <si>
    <t>Exceeding 120 m³</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</si>
  <si>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Other: Reciprocating displacement compressors, having a gauge pressure capacity of: Exceeding 15 bar, giving a flow per hour: Exceeding 120 m³</t>
  </si>
  <si>
    <t>CHAPTER 84 - NUCLEAR REACTORS, BOILERS, MACHINERY AND MECHANICAL APPLIANCES; PARTS THEREOF: Air or vacuum pumps, air or other gas compressors and fans; ventilating or recycling hoods incorporating a fan, whether or not fitted with filters: Other: Reciprocating displacement compressors, having a gauge pressure capacity of: Exceeding 15 bar, giving a flow per hour: Exceeding 120 m³</t>
  </si>
  <si>
    <t>Single-shaft</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</si>
  <si>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Other: Rotary displacement compressors: Single-shaft</t>
  </si>
  <si>
    <t>CHAPTER 84 - NUCLEAR REACTORS, BOILERS, MACHINERY AND MECHANICAL APPLIANCES; PARTS THEREOF: Air or vacuum pumps, air or other gas compressors and fans; ventilating or recycling hoods incorporating a fan, whether or not fitted with filters: Other: Rotary displacement compressors: Single-shaft</t>
  </si>
  <si>
    <t>Screw compressors</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</si>
  <si>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Other: Rotary displacement compressors: Multi-shaft: Screw compressors</t>
  </si>
  <si>
    <t>CHAPTER 84 - NUCLEAR REACTORS, BOILERS, MACHINERY AND MECHANICAL APPLIANCES; PARTS THEREOF: Air or vacuum pumps, air or other gas compressors and fans; ventilating or recycling hoods incorporating a fan, whether or not fitted with filters: Other: Rotary displacement compressors: Multi-shaft: Screw compressors</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</si>
  <si>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Other: Rotary displacement compressors: Multi-shaft: Other</t>
  </si>
  <si>
    <t>CHAPTER 84 - NUCLEAR REACTORS, BOILERS, MACHINERY AND MECHANICAL APPLIANCES; PARTS THEREOF: Air or vacuum pumps, air or other gas compressors and fans; ventilating or recycling hoods incorporating a fan, whether or not fitted with filters: Other: Rotary displacement compressors: Multi-shaft: Other</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</si>
  <si>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Other: Other</t>
  </si>
  <si>
    <t>CHAPTER 84 - NUCLEAR REACTORS, BOILERS, MACHINERY AND MECHANICAL APPLIANCES; PARTS THEREOF: Air or vacuum pumps, air or other gas compressors and fans; ventilating or recycling hoods incorporating a fan, whether or not fitted with filters: Other: Other</t>
  </si>
  <si>
    <t>CHAPTER 84 - NUCLEAR REACTORS, BOILERS, MACHINERY AND MECHANICAL APPLIANCES; PARTS THEREOF: Air or vacuum pumps, air or other gas compressors and fans; ventilating or recycling hoods incorporating a fan, whether or not fitted with filters; gas-tight biological safety cabinets, whether or not fitted with filters: Parts</t>
  </si>
  <si>
    <t>CHAPTER 84 - NUCLEAR REACTORS, BOILERS, MACHINERY AND MECHANICAL APPLIANCES; PARTS THEREOF: Air or vacuum pumps, air or other gas compressors and fans; ventilating or recycling hoods incorporating a fan, whether or not fitted with filters: Parts</t>
  </si>
  <si>
    <t>Of a capacity exceeding 340 litres</t>
  </si>
  <si>
    <t>CHAPTER 84 - NUCLEAR REACTORS, BOILERS, MACHINERY AND MECHANICAL APPLIANCES; PARTS THEREOF: Refrigerators, freezers and other refrigerating or freezing equipment, electric or other; heat pumps other than air-conditioning machines of heading 8415: Combined refrigerator-freezers, fitted with separate external doors or drawers, or combinations thereof: Of a capacity exceeding 340 litres</t>
  </si>
  <si>
    <t>CHAPTER 84 - NUCLEAR REACTORS, BOILERS, MACHINERY AND MECHANICAL APPLIANCES; PARTS THEREOF: Refrigerators, freezers and other refrigerating or freezing equipment, electric or other; heat pumps other than air-conditioning machines of heading 8415: Combined refrigerator-freezers, fitted with separate external doors: Of a capacity exceeding 340 litres</t>
  </si>
  <si>
    <t>CHAPTER 84 - NUCLEAR REACTORS, BOILERS, MACHINERY AND MECHANICAL APPLIANCES; PARTS THEREOF: Refrigerators, freezers and other refrigerating or freezing equipment, electric or other; heat pumps other than air-conditioning machines of heading 8415: Combined refrigerator-freezers, fitted with separate external doors or drawers, or combinations thereof: Other</t>
  </si>
  <si>
    <t>CHAPTER 84 - NUCLEAR REACTORS, BOILERS, MACHINERY AND MECHANICAL APPLIANCES; PARTS THEREOF: Refrigerators, freezers and other refrigerating or freezing equipment, electric or other; heat pumps other than air-conditioning machines of heading 8415: Combined refrigerator-freezers, fitted with separate external doors: Other</t>
  </si>
  <si>
    <t>Bakery machinery</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</si>
  <si>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or microbial fats or oils: Bakery machinery and machinery for the manufacture of macaroni, spaghetti or similar products: Bakery machinery</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</si>
  <si>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fats or oils: Bakery machinery and machinery for the manufacture of macaroni, spaghetti or similar products: Bakery machinery</t>
  </si>
  <si>
    <t>Machinery for the manufacture of macaroni, spaghetti or similar products</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</si>
  <si>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or microbial fats or oils: Bakery machinery and machinery for the manufacture of macaroni, spaghetti or similar products: Machinery for the manufacture of macaroni, spaghetti or similar products</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</si>
  <si>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fats or oils: Bakery machinery and machinery for the manufacture of macaroni, spaghetti or similar products: Machinery for the manufacture of macaroni, spaghetti or similar products</t>
  </si>
  <si>
    <t>Machinery for the manufacture of confectionery, cocoa or chocolate</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</si>
  <si>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or microbial fats or oils: Machinery for the manufacture of confectionery, cocoa or chocolate</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</si>
  <si>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fats or oils: Machinery for the manufacture of confectionery, cocoa or chocolate</t>
  </si>
  <si>
    <t>Machinery for sugar manufacture</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</si>
  <si>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or microbial fats or oils: Machinery for sugar manufacture</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</si>
  <si>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fats or oils: Machinery for sugar manufacture</t>
  </si>
  <si>
    <t>Brewery machinery</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</si>
  <si>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or microbial fats or oils: Brewery machinery</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</si>
  <si>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fats or oils: Brewery machinery</t>
  </si>
  <si>
    <t>Machinery for the preparation of meat or poultry</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</si>
  <si>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or microbial fats or oils: Machinery for the preparation of meat or poultry</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</si>
  <si>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fats or oils: Machinery for the preparation of meat or poultry</t>
  </si>
  <si>
    <t>Machinery for the preparation of fruits, nuts or vegetables</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</si>
  <si>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or microbial fats or oils: Machinery for the preparation of fruits, nuts or vegetables</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</si>
  <si>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fats or oils: Machinery for the preparation of fruits, nuts or vegetables</t>
  </si>
  <si>
    <t>For the preparation of tea or coffee</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</si>
  <si>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or microbial fats or oils: Other machinery: For the preparation of tea or coffee</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</si>
  <si>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fats or oils: Other machinery: For the preparation of tea or coffee</t>
  </si>
  <si>
    <t>For the preparation or manufacture of drink</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</si>
  <si>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or microbial fats or oils: Other machinery: Other: For the preparation or manufacture of drink</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</si>
  <si>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fats or oils: Other machinery: Other: For the preparation or manufacture of drink</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</si>
  <si>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or microbial fats or oils: Other machinery: Other: Other</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</si>
  <si>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fats or oils: Other machinery: Other: Other</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</si>
  <si>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or microbial fats or oils: Parts</t>
  </si>
  <si>
    <t>CHAPTER 84 - NUCLEAR REACTORS, BOILERS, MACHINERY AND MECHANICAL APPLIANCES; PARTS THEREOF: Machinery, not specified or included elsewhere in this chapter, for the industrial preparation or manufacture of food or drink, other than machinery for the extraction or preparation of animal or fixed vegetable fats or oils: Parts</t>
  </si>
  <si>
    <t>For working flat products</t>
  </si>
  <si>
    <t>CHAPTER 84 - NUCLEAR REACTORS, BOILERS, MACHINERY AND MECHANICAL APPLIANCES; PARTS THEREOF: 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not specified above: Bending, folding, straightening or flattening machines (including press brakes) for flat products: Other: Numerically controlled</t>
  </si>
  <si>
    <t>CHAPTER 84 - NUCLEAR REACTORS, BOILERS, MACHINERY AND MECHANICAL APPLIANCES; PARTS THEREOF: Machine tools (including presses) for working metal by forging, hammering or die-stamping; machine tools (including presses) for working metal by bending, folding, straightening, flattening, shearing, punching or notching; presses for working metal or metal carbides, not specified above: Bending, folding, straightening or flattening machines (including presses): Other: For working flat products</t>
  </si>
  <si>
    <t>Machinery for the extraction or preparation of animal or fixed vegetable or microbial fats or oils</t>
  </si>
  <si>
    <t>Machinery for the extraction or preparation of animal or fixed vegetable fats or oils</t>
  </si>
  <si>
    <t>CHAPTER 84 - NUCLEAR REACTORS, BOILERS, MACHINERY AND MECHANICAL APPLIANCES; PARTS THEREOF: Machines and mechanical appliances having individual functions, not specified or included elsewhere in this chapter: Machinery for the extraction or preparation of animal or fixed vegetable or microbial fats or oils</t>
  </si>
  <si>
    <t>CHAPTER 84 - NUCLEAR REACTORS, BOILERS, MACHINERY AND MECHANICAL APPLIANCES; PARTS THEREOF: Machines and mechanical appliances having individual functions, not specified or included elsewhere in this chapter: Machinery for the extraction or preparation of animal or fixed vegetable fats or oils</t>
  </si>
  <si>
    <t>Needle roller bearings, including cage and needle roller assemblies</t>
  </si>
  <si>
    <t>Needle roller bearings</t>
  </si>
  <si>
    <t>CHAPTER 84 - NUCLEAR REACTORS, BOILERS, MACHINERY AND MECHANICAL APPLIANCES; PARTS THEREOF: Ball or roller bearings: Needle roller bearings, including cage and needle roller assemblies</t>
  </si>
  <si>
    <t>CHAPTER 84 - NUCLEAR REACTORS, BOILERS, MACHINERY AND MECHANICAL APPLIANCES; PARTS THEREOF: Ball or roller bearings: Needle roller bearings</t>
  </si>
  <si>
    <t>Other cylindrical roller bearings, including cage and roller assemblies</t>
  </si>
  <si>
    <t>Other cylindrical roller bearings</t>
  </si>
  <si>
    <t>CHAPTER 84 - NUCLEAR REACTORS, BOILERS, MACHINERY AND MECHANICAL APPLIANCES; PARTS THEREOF: Ball or roller bearings: Other cylindrical roller bearings, including cage and roller assemblies</t>
  </si>
  <si>
    <t>CHAPTER 84 - NUCLEAR REACTORS, BOILERS, MACHINERY AND MECHANICAL APPLIANCES; PARTS THEREOF: Ball or roller bearings: Other cylindrical roller bearings</t>
  </si>
  <si>
    <t>Machines and apparatus for the manufacture of boules or wafers</t>
  </si>
  <si>
    <t>CHAPTER 84 - NUCLEAR REACTORS, BOILERS, MACHINERY AND MECHANICAL APPLIANCES; PARTS THEREOF: Machines and apparatus of a kind used solely or principally for the manufacture of semiconductor boules or wafers, semiconductor devices, electronic integrated circuits or flat panel displays; machines and apparatus specified in note 11(C) to this chapter; parts and accessories: Machines and apparatus for the manufacture of boules or wafers</t>
  </si>
  <si>
    <t>CHAPTER 84 - NUCLEAR REACTORS, BOILERS, MACHINERY AND MECHANICAL APPLIANCES; PARTS THEREOF: Machines and apparatus of a kind used solely or principally for the manufacture of semiconductor boules or wafers, semiconductor devices, electronic integrated circuits or flat panel displays; machines and apparatus specified in note 9(C) to this chapter; parts and accessories: Machines and apparatus for the manufacture of boules or wafers</t>
  </si>
  <si>
    <t>Machines and apparatus for the manufacture of semiconductor devices or of electronic integrated circuits</t>
  </si>
  <si>
    <t>CHAPTER 84 - NUCLEAR REACTORS, BOILERS, MACHINERY AND MECHANICAL APPLIANCES; PARTS THEREOF: Machines and apparatus of a kind used solely or principally for the manufacture of semiconductor boules or wafers, semiconductor devices, electronic integrated circuits or flat panel displays; machines and apparatus specified in note 11(C) to this chapter; parts and accessories: Machines and apparatus for the manufacture of semiconductor devices or of electronic integrated circuits</t>
  </si>
  <si>
    <t>CHAPTER 84 - NUCLEAR REACTORS, BOILERS, MACHINERY AND MECHANICAL APPLIANCES; PARTS THEREOF: Machines and apparatus of a kind used solely or principally for the manufacture of semiconductor boules or wafers, semiconductor devices, electronic integrated circuits or flat panel displays; machines and apparatus specified in note 9(C) to this chapter; parts and accessories: Machines and apparatus for the manufacture of semiconductor devices or of electronic integrated circuits</t>
  </si>
  <si>
    <t>Machines and apparatus for the manufacture of flat panel displays</t>
  </si>
  <si>
    <t>CHAPTER 84 - NUCLEAR REACTORS, BOILERS, MACHINERY AND MECHANICAL APPLIANCES; PARTS THEREOF: Machines and apparatus of a kind used solely or principally for the manufacture of semiconductor boules or wafers, semiconductor devices, electronic integrated circuits or flat panel displays; machines and apparatus specified in note 11(C) to this chapter; parts and accessories: Machines and apparatus for the manufacture of flat panel displays</t>
  </si>
  <si>
    <t>CHAPTER 84 - NUCLEAR REACTORS, BOILERS, MACHINERY AND MECHANICAL APPLIANCES; PARTS THEREOF: Machines and apparatus of a kind used solely or principally for the manufacture of semiconductor boules or wafers, semiconductor devices, electronic integrated circuits or flat panel displays; machines and apparatus specified in note 9(C) to this chapter; parts and accessories: Machines and apparatus for the manufacture of flat panel displays</t>
  </si>
  <si>
    <t>Machines and apparatus specified in note 11(C) to this chapter</t>
  </si>
  <si>
    <t>Machines and apparatus specified in note 9(C) to this chapter</t>
  </si>
  <si>
    <t>CHAPTER 84 - NUCLEAR REACTORS, BOILERS, MACHINERY AND MECHANICAL APPLIANCES; PARTS THEREOF: Machines and apparatus of a kind used solely or principally for the manufacture of semiconductor boules or wafers, semiconductor devices, electronic integrated circuits or flat panel displays; machines and apparatus specified in note 11(C) to this chapter; parts and accessories: Machines and apparatus specified in note 11(C) to this chapter</t>
  </si>
  <si>
    <t>CHAPTER 84 - NUCLEAR REACTORS, BOILERS, MACHINERY AND MECHANICAL APPLIANCES; PARTS THEREOF: Machines and apparatus of a kind used solely or principally for the manufacture of semiconductor boules or wafers, semiconductor devices, electronic integrated circuits or flat panel displays; machines and apparatus specified in note 9(C) to this chapter; parts and accessories: Machines and apparatus specified in note 9(C) to this chapter</t>
  </si>
  <si>
    <t>CHAPTER 84 - NUCLEAR REACTORS, BOILERS, MACHINERY AND MECHANICAL APPLIANCES; PARTS THEREOF: Machines and apparatus of a kind used solely or principally for the manufacture of semiconductor boules or wafers, semiconductor devices, electronic integrated circuits or flat panel displays; machines and apparatus specified in note 11(C) to this chapter; parts and accessories: Parts and accessories</t>
  </si>
  <si>
    <t>CHAPTER 84 - NUCLEAR REACTORS, BOILERS, MACHINERY AND MECHANICAL APPLIANCES; PARTS THEREOF: Machines and apparatus of a kind used solely or principally for the manufacture of semiconductor boules or wafers, semiconductor devices, electronic integrated circuits or flat panel displays; machines and apparatus specified in note 9(C) to this chapter; parts and accessories: Parts and accessories</t>
  </si>
  <si>
    <t>Of an output not exceeding 750 W</t>
  </si>
  <si>
    <t>CHAPTER 85 - ELECTRICAL MACHINERY AND EQUIPMENT AND PARTS THEREOF; SOUND RECORDERS AND REPRODUCERS, TELEVISION IMAGE AND SOUND RECORDERS AND REPRODUCERS, AND PARTS AND ACCESSORIES OF SUCH ARTICLES: Electric motors and generators (excluding generating sets): Other DC motors; DC generators, other than photovoltaic generators: Of an output not exceeding 750 W</t>
  </si>
  <si>
    <t>CHAPTER 85 - ELECTRICAL MACHINERY AND EQUIPMENT AND PARTS THEREOF; SOUND RECORDERS AND REPRODUCERS, TELEVISION IMAGE AND SOUND RECORDERS AND REPRODUCERS, AND PARTS AND ACCESSORIES OF SUCH ARTICLES: Electric motors and generators (excluding generating sets): Other DC motors; DC generators: Of an output not exceeding 750 W</t>
  </si>
  <si>
    <t>Of an output exceeding 750 W but not exceeding 75 kW</t>
  </si>
  <si>
    <t>CHAPTER 85 - ELECTRICAL MACHINERY AND EQUIPMENT AND PARTS THEREOF; SOUND RECORDERS AND REPRODUCERS, TELEVISION IMAGE AND SOUND RECORDERS AND REPRODUCERS, AND PARTS AND ACCESSORIES OF SUCH ARTICLES: Electric motors and generators (excluding generating sets): Other DC motors; DC generators, other than photovoltaic generators: Of an output exceeding 750 W but not exceeding 75 kW</t>
  </si>
  <si>
    <t>CHAPTER 85 - ELECTRICAL MACHINERY AND EQUIPMENT AND PARTS THEREOF; SOUND RECORDERS AND REPRODUCERS, TELEVISION IMAGE AND SOUND RECORDERS AND REPRODUCERS, AND PARTS AND ACCESSORIES OF SUCH ARTICLES: Electric motors and generators (excluding generating sets): Other DC motors; DC generators: Of an output exceeding 750 W but not exceeding 75 kW</t>
  </si>
  <si>
    <t>Of an output exceeding 75 kW but not exceeding 375 kW</t>
  </si>
  <si>
    <t>CHAPTER 85 - ELECTRICAL MACHINERY AND EQUIPMENT AND PARTS THEREOF; SOUND RECORDERS AND REPRODUCERS, TELEVISION IMAGE AND SOUND RECORDERS AND REPRODUCERS, AND PARTS AND ACCESSORIES OF SUCH ARTICLES: Electric motors and generators (excluding generating sets): Other DC motors; DC generators, other than photovoltaic generators: Of an output exceeding 75 kW but not exceeding 375 kW</t>
  </si>
  <si>
    <t>CHAPTER 85 - ELECTRICAL MACHINERY AND EQUIPMENT AND PARTS THEREOF; SOUND RECORDERS AND REPRODUCERS, TELEVISION IMAGE AND SOUND RECORDERS AND REPRODUCERS, AND PARTS AND ACCESSORIES OF SUCH ARTICLES: Electric motors and generators (excluding generating sets): Other DC motors; DC generators: Of an output exceeding 75 kW but not exceeding 375 kW</t>
  </si>
  <si>
    <t>Of an output exceeding 375 kW</t>
  </si>
  <si>
    <t>CHAPTER 85 - ELECTRICAL MACHINERY AND EQUIPMENT AND PARTS THEREOF; SOUND RECORDERS AND REPRODUCERS, TELEVISION IMAGE AND SOUND RECORDERS AND REPRODUCERS, AND PARTS AND ACCESSORIES OF SUCH ARTICLES: Electric motors and generators (excluding generating sets): Other DC motors; DC generators, other than photovoltaic generators: Of an output exceeding 375 kW</t>
  </si>
  <si>
    <t>CHAPTER 85 - ELECTRICAL MACHINERY AND EQUIPMENT AND PARTS THEREOF; SOUND RECORDERS AND REPRODUCERS, TELEVISION IMAGE AND SOUND RECORDERS AND REPRODUCERS, AND PARTS AND ACCESSORIES OF SUCH ARTICLES: Electric motors and generators (excluding generating sets): Other DC motors; DC generators: Of an output exceeding 375 kW</t>
  </si>
  <si>
    <t>Of an output not exceeding 7,5 kVA</t>
  </si>
  <si>
    <t>CHAPTER 85 - ELECTRICAL MACHINERY AND EQUIPMENT AND PARTS THEREOF; SOUND RECORDERS AND REPRODUCERS, TELEVISION IMAGE AND SOUND RECORDERS AND REPRODUCERS, AND PARTS AND ACCESSORIES OF SUCH ARTICLES: Electric motors and generators (excluding generating sets): AC generators (alternators), other than photovoltaic generators: Of an output not exceeding 75 kVA: Of an output not exceeding 7,5 kVA</t>
  </si>
  <si>
    <t>CHAPTER 85 - ELECTRICAL MACHINERY AND EQUIPMENT AND PARTS THEREOF; SOUND RECORDERS AND REPRODUCERS, TELEVISION IMAGE AND SOUND RECORDERS AND REPRODUCERS, AND PARTS AND ACCESSORIES OF SUCH ARTICLES: Electric motors and generators (excluding generating sets): AC generators (alternators): Of an output not exceeding 75 kVA: Of an output not exceeding 7,5 kVA</t>
  </si>
  <si>
    <t>Of an output exceeding 7,5 kVA but not exceeding 75 kVA</t>
  </si>
  <si>
    <t>CHAPTER 85 - ELECTRICAL MACHINERY AND EQUIPMENT AND PARTS THEREOF; SOUND RECORDERS AND REPRODUCERS, TELEVISION IMAGE AND SOUND RECORDERS AND REPRODUCERS, AND PARTS AND ACCESSORIES OF SUCH ARTICLES: Electric motors and generators (excluding generating sets): AC generators (alternators), other than photovoltaic generators: Of an output not exceeding 75 kVA: Of an output exceeding 7,5 kVA but not exceeding 75 kVA</t>
  </si>
  <si>
    <t>CHAPTER 85 - ELECTRICAL MACHINERY AND EQUIPMENT AND PARTS THEREOF; SOUND RECORDERS AND REPRODUCERS, TELEVISION IMAGE AND SOUND RECORDERS AND REPRODUCERS, AND PARTS AND ACCESSORIES OF SUCH ARTICLES: Electric motors and generators (excluding generating sets): AC generators (alternators): Of an output not exceeding 75 kVA: Of an output exceeding 7,5 kVA but not exceeding 75 kVA</t>
  </si>
  <si>
    <t>Of an output exceeding 75 kVA but not exceeding 375 kVA</t>
  </si>
  <si>
    <t>CHAPTER 85 - ELECTRICAL MACHINERY AND EQUIPMENT AND PARTS THEREOF; SOUND RECORDERS AND REPRODUCERS, TELEVISION IMAGE AND SOUND RECORDERS AND REPRODUCERS, AND PARTS AND ACCESSORIES OF SUCH ARTICLES: Electric motors and generators (excluding generating sets): AC generators (alternators), other than photovoltaic generators: Of an output exceeding 75 kVA but not exceeding 375 kVA</t>
  </si>
  <si>
    <t>CHAPTER 85 - ELECTRICAL MACHINERY AND EQUIPMENT AND PARTS THEREOF; SOUND RECORDERS AND REPRODUCERS, TELEVISION IMAGE AND SOUND RECORDERS AND REPRODUCERS, AND PARTS AND ACCESSORIES OF SUCH ARTICLES: Electric motors and generators (excluding generating sets): AC generators (alternators): Of an output exceeding 75 kVA but not exceeding 375 kVA</t>
  </si>
  <si>
    <t>Of an output exceeding 375 kVA but not exceeding 750 kVA</t>
  </si>
  <si>
    <t>CHAPTER 85 - ELECTRICAL MACHINERY AND EQUIPMENT AND PARTS THEREOF; SOUND RECORDERS AND REPRODUCERS, TELEVISION IMAGE AND SOUND RECORDERS AND REPRODUCERS, AND PARTS AND ACCESSORIES OF SUCH ARTICLES: Electric motors and generators (excluding generating sets): AC generators (alternators), other than photovoltaic generators: Of an output exceeding 375 kVA but not exceeding 750 kVA</t>
  </si>
  <si>
    <t>CHAPTER 85 - ELECTRICAL MACHINERY AND EQUIPMENT AND PARTS THEREOF; SOUND RECORDERS AND REPRODUCERS, TELEVISION IMAGE AND SOUND RECORDERS AND REPRODUCERS, AND PARTS AND ACCESSORIES OF SUCH ARTICLES: Electric motors and generators (excluding generating sets): AC generators (alternators): Of an output exceeding 375 kVA but not exceeding 750 kVA</t>
  </si>
  <si>
    <t>Of an output exceeding 750 kVA</t>
  </si>
  <si>
    <t>CHAPTER 85 - ELECTRICAL MACHINERY AND EQUIPMENT AND PARTS THEREOF; SOUND RECORDERS AND REPRODUCERS, TELEVISION IMAGE AND SOUND RECORDERS AND REPRODUCERS, AND PARTS AND ACCESSORIES OF SUCH ARTICLES: Electric motors and generators (excluding generating sets): AC generators (alternators), other than photovoltaic generators: Of an output exceeding 750 kVA</t>
  </si>
  <si>
    <t>CHAPTER 85 - ELECTRICAL MACHINERY AND EQUIPMENT AND PARTS THEREOF; SOUND RECORDERS AND REPRODUCERS, TELEVISION IMAGE AND SOUND RECORDERS AND REPRODUCERS, AND PARTS AND ACCESSORIES OF SUCH ARTICLES: Electric motors and generators (excluding generating sets): AC generators (alternators): Of an output exceeding 750 kVA</t>
  </si>
  <si>
    <t>Of other furnaces and ovens of subheadings 85143110, 85143210 or 85143910</t>
  </si>
  <si>
    <t>Of other furnaces and ovens of subheading 85143020</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</si>
  <si>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Parts: Of other furnaces and ovens of subheadings 85143110, 85143210 or 85143910</t>
  </si>
  <si>
    <t>CHAPTER 85 - ELECTRICAL MACHINERY AND EQUIPMENT AND PARTS THEREOF; SOUND RECORDERS AND REPRODUCERS, TELEVISION IMAGE AND SOUND RECORDERS AND REPRODUCERS, AND PARTS AND ACCESSORIES OF SUCH ARTICLES: Industrial or laboratory electric furnaces and ovens (including those functioning by induction or dielectric loss); other industrial or laboratory equipment for the heat treatment of materials by induction or dielectric loss: Parts: Of other furnaces and ovens of subheading 85143020</t>
  </si>
  <si>
    <t>Line telephone sets with cordless handsets</t>
  </si>
  <si>
    <t>CHAPTER 85 - ELECTRICAL MACHINERY AND EQUIPMENT AND PARTS THEREOF; SOUND RECORDERS AND REPRODUCERS, TELEVISION IMAGE AND SOUND RECORDERS AND REPRODUCERS, AND PARTS AND ACCESSORIES OF SUCH ARTICLES: Telephone sets, including smartphones and other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Telephone sets, including smartphones and other telephones for cellular networks or for other wireless networks: Line telephone sets with cordless handsets</t>
  </si>
  <si>
    <t>CHAPTER 85 - ELECTRICAL MACHINERY AND EQUIPMENT AND PARTS THEREOF; SOUND RECORDERS AND REPRODUCERS, TELEVISION IMAGE AND SOUND RECORDERS AND REPRODUCERS, AND PARTS AND ACCESSORIES OF SUCH ARTICLES: 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Telephone sets, including telephones for cellular networks or for other wireless networks: Line telephone sets with cordless handsets</t>
  </si>
  <si>
    <t>CHAPTER 85 - ELECTRICAL MACHINERY AND EQUIPMENT AND PARTS THEREOF; SOUND RECORDERS AND REPRODUCERS, TELEVISION IMAGE AND SOUND RECORDERS AND REPRODUCERS, AND PARTS AND ACCESSORIES OF SUCH ARTICLES: Telephone sets, including smartphones and other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Telephone sets, including smartphones and other telephones for cellular networks or for other wireless networks: Other</t>
  </si>
  <si>
    <t>CHAPTER 85 - ELECTRICAL MACHINERY AND EQUIPMENT AND PARTS THEREOF; SOUND RECORDERS AND REPRODUCERS, TELEVISION IMAGE AND SOUND RECORDERS AND REPRODUCERS, AND PARTS AND ACCESSORIES OF SUCH ARTICLES: 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Telephone sets, including telephones for cellular networks or for other wireless networks: Other</t>
  </si>
  <si>
    <t>Base stations</t>
  </si>
  <si>
    <t>CHAPTER 85 - ELECTRICAL MACHINERY AND EQUIPMENT AND PARTS THEREOF; SOUND RECORDERS AND REPRODUCERS, TELEVISION IMAGE AND SOUND RECORDERS AND REPRODUCERS, AND PARTS AND ACCESSORIES OF SUCH ARTICLES: Telephone sets, including smartphones and other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Other apparatus for the transmission or reception of voice, images or other data, including apparatus for communication in a wired or wireless network (such as a local or wide area network): Base stations</t>
  </si>
  <si>
    <t>CHAPTER 85 - ELECTRICAL MACHINERY AND EQUIPMENT AND PARTS THEREOF; SOUND RECORDERS AND REPRODUCERS, TELEVISION IMAGE AND SOUND RECORDERS AND REPRODUCERS, AND PARTS AND ACCESSORIES OF SUCH ARTICLES: 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Other apparatus for the transmission or reception of voice, images or other data, including apparatus for communication in a wired or wireless network (such as a local or wide area network): Base stations</t>
  </si>
  <si>
    <t>Machines for the reception, conversion and transmission or regeneration of voice, images or other data, including switching and routing apparatus</t>
  </si>
  <si>
    <t>CHAPTER 85 - ELECTRICAL MACHINERY AND EQUIPMENT AND PARTS THEREOF; SOUND RECORDERS AND REPRODUCERS, TELEVISION IMAGE AND SOUND RECORDERS AND REPRODUCERS, AND PARTS AND ACCESSORIES OF SUCH ARTICLES: Telephone sets, including smartphones and other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Other apparatus for the transmission or reception of voice, images or other data, including apparatus for communication in a wired or wireless network (such as a local or wide area network): Machines for the reception, conversion and transmission or regeneration of voice, images or other data, including switching and routing apparatus</t>
  </si>
  <si>
    <t>CHAPTER 85 - ELECTRICAL MACHINERY AND EQUIPMENT AND PARTS THEREOF; SOUND RECORDERS AND REPRODUCERS, TELEVISION IMAGE AND SOUND RECORDERS AND REPRODUCERS, AND PARTS AND ACCESSORIES OF SUCH ARTICLES: 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Other apparatus for the transmission or reception of voice, images or other data, including apparatus for communication in a wired or wireless network (such as a local or wide area network): Machines for the reception, conversion and transmission or regeneration of voice, images or other data, including switching and routing apparatus</t>
  </si>
  <si>
    <t>Videophones</t>
  </si>
  <si>
    <t>CHAPTER 85 - ELECTRICAL MACHINERY AND EQUIPMENT AND PARTS THEREOF; SOUND RECORDERS AND REPRODUCERS, TELEVISION IMAGE AND SOUND RECORDERS AND REPRODUCERS, AND PARTS AND ACCESSORIES OF SUCH ARTICLES: Telephone sets, including smartphones and other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Other apparatus for the transmission or reception of voice, images or other data, including apparatus for communication in a wired or wireless network (such as a local or wide area network): Other: Videophones</t>
  </si>
  <si>
    <t>CHAPTER 85 - ELECTRICAL MACHINERY AND EQUIPMENT AND PARTS THEREOF; SOUND RECORDERS AND REPRODUCERS, TELEVISION IMAGE AND SOUND RECORDERS AND REPRODUCERS, AND PARTS AND ACCESSORIES OF SUCH ARTICLES: 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Other apparatus for the transmission or reception of voice, images or other data, including apparatus for communication in a wired or wireless network (such as a local or wide area network): Other: Videophones</t>
  </si>
  <si>
    <t>Entry-phone systems</t>
  </si>
  <si>
    <t>CHAPTER 85 - ELECTRICAL MACHINERY AND EQUIPMENT AND PARTS THEREOF; SOUND RECORDERS AND REPRODUCERS, TELEVISION IMAGE AND SOUND RECORDERS AND REPRODUCERS, AND PARTS AND ACCESSORIES OF SUCH ARTICLES: Telephone sets, including smartphones and other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Other apparatus for the transmission or reception of voice, images or other data, including apparatus for communication in a wired or wireless network (such as a local or wide area network): Other: Entry-phone systems</t>
  </si>
  <si>
    <t>CHAPTER 85 - ELECTRICAL MACHINERY AND EQUIPMENT AND PARTS THEREOF; SOUND RECORDERS AND REPRODUCERS, TELEVISION IMAGE AND SOUND RECORDERS AND REPRODUCERS, AND PARTS AND ACCESSORIES OF SUCH ARTICLES: 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Other apparatus for the transmission or reception of voice, images or other data, including apparatus for communication in a wired or wireless network (such as a local or wide area network): Other: Entry-phone systems</t>
  </si>
  <si>
    <t>Reception apparatus for radio-telephony or radio-telegraphy</t>
  </si>
  <si>
    <t>CHAPTER 85 - ELECTRICAL MACHINERY AND EQUIPMENT AND PARTS THEREOF; SOUND RECORDERS AND REPRODUCERS, TELEVISION IMAGE AND SOUND RECORDERS AND REPRODUCERS, AND PARTS AND ACCESSORIES OF SUCH ARTICLES: Telephone sets, including smartphones and other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Other apparatus for the transmission or reception of voice, images or other data, including apparatus for communication in a wired or wireless network (such as a local or wide area network): Other: Reception apparatus for radio-telephony or radio-telegraphy</t>
  </si>
  <si>
    <t>CHAPTER 85 - ELECTRICAL MACHINERY AND EQUIPMENT AND PARTS THEREOF; SOUND RECORDERS AND REPRODUCERS, TELEVISION IMAGE AND SOUND RECORDERS AND REPRODUCERS, AND PARTS AND ACCESSORIES OF SUCH ARTICLES: 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Other apparatus for the transmission or reception of voice, images or other data, including apparatus for communication in a wired or wireless network (such as a local or wide area network): Other: Reception apparatus for radio-telephony or radio-telegraphy</t>
  </si>
  <si>
    <t>CHAPTER 85 - ELECTRICAL MACHINERY AND EQUIPMENT AND PARTS THEREOF; SOUND RECORDERS AND REPRODUCERS, TELEVISION IMAGE AND SOUND RECORDERS AND REPRODUCERS, AND PARTS AND ACCESSORIES OF SUCH ARTICLES: Telephone sets, including smartphones and other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Other apparatus for the transmission or reception of voice, images or other data, including apparatus for communication in a wired or wireless network (such as a local or wide area network): Other: Other</t>
  </si>
  <si>
    <t>CHAPTER 85 - ELECTRICAL MACHINERY AND EQUIPMENT AND PARTS THEREOF; SOUND RECORDERS AND REPRODUCERS, TELEVISION IMAGE AND SOUND RECORDERS AND REPRODUCERS, AND PARTS AND ACCESSORIES OF SUCH ARTICLES: 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Other apparatus for the transmission or reception of voice, images or other data, including apparatus for communication in a wired or wireless network (such as a local or wide area network): Other: Other</t>
  </si>
  <si>
    <t>Telescopic and whip-type aerials for portable apparatus or for apparatus for fitting in motor vehicles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</si>
  <si>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8524 to 8528: Aerials and aerial reflectors of all kinds; parts suitable for use therewith: Aerials: Telescopic and whip-type aerials for portable apparatus or for apparatus for fitting in motor vehicles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</si>
  <si>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8525 to 8528: Aerials and aerial reflectors of all kinds; parts suitable for use therewith: Aerials: Telescopic and whip-type aerials for portable apparatus or for apparatus for fitting in motor vehicles</t>
  </si>
  <si>
    <t>Outside aerials for radio or television broadcast receivers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</si>
  <si>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8524 to 8528: Aerials and aerial reflectors of all kinds; parts suitable for use therewith: Aerials: Outside aerials for radio or television broadcast receivers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</si>
  <si>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8525 to 8528: Aerials and aerial reflectors of all kinds; parts suitable for use therewith: Aerials: Outside aerials for radio or television broadcast receivers</t>
  </si>
  <si>
    <t>Inside aerials for radio or television broadcast receivers, including built-in types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</si>
  <si>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8524 to 8528: Aerials and aerial reflectors of all kinds; parts suitable for use therewith: Aerials: Inside aerials for radio or television broadcast receivers, including built-in types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</si>
  <si>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8525 to 8528: Aerials and aerial reflectors of all kinds; parts suitable for use therewith: Aerials: Inside aerials for radio or television broadcast receivers, including built-in types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</si>
  <si>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8524 to 8528: Aerials and aerial reflectors of all kinds; parts suitable for use therewith: Aerials: Other</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</si>
  <si>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8525 to 8528: Aerials and aerial reflectors of all kinds; parts suitable for use therewith: Aerials: Other</t>
  </si>
  <si>
    <t>Aerial filters and separators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</si>
  <si>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8524 to 8528: Aerials and aerial reflectors of all kinds; parts suitable for use therewith: Aerial filters and separators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</si>
  <si>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8525 to 8528: Aerials and aerial reflectors of all kinds; parts suitable for use therewith: Aerial filters and separators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</si>
  <si>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8524 to 8528: Aerials and aerial reflectors of all kinds; parts suitable for use therewith: Other</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</si>
  <si>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8525 to 8528: Aerials and aerial reflectors of all kinds; parts suitable for use therewith: Other</t>
  </si>
  <si>
    <t>Organic light-emitting diode modules and organic light-emitting diode panels for the apparatus of subheadings 852872 or 852873</t>
  </si>
  <si>
    <t>Organic light-emitting diode modules and organic light-emitting diode panels for the apparatus of subheadings 852872 or  852873</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</si>
  <si>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8524 to 8528: Other: Organic light-emitting diode modules and organic light-emitting diode panels for the apparatus of subheadings 852872 or 852873</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</si>
  <si>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8525 to 8528: Other: Organic light-emitting diode modules and organic light-emitting diode panels for the apparatus of subheadings 852872 or  852873</t>
  </si>
  <si>
    <t>Of digital cameras falling within subheadings 85258100, 85258200, 85258300 and 85258900; Of apparatus of subheadings 85256000, 85284200, 85285210 and 85286200</t>
  </si>
  <si>
    <t>Parts of apparatus of subheadings 85256000, 85258030, 85284200, 85285210 and 85286200</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</si>
  <si>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8524 to 8528: Other: Other: Of digital cameras falling within subheadings 85258100, 85258200, 85258300 and 85258900; Of apparatus of subheadings 85256000, 85284200, 85285210 and 85286200</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</si>
  <si>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8525 to 8528: Other: Other: Parts of apparatus of subheadings 85256000, 85258030, 85284200, 85285210 and 85286200</t>
  </si>
  <si>
    <t>Electronic assemblies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</si>
  <si>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8524 to 8528: Other: Other: Other: Electronic assemblies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</si>
  <si>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8525 to 8528: Other: Other: Other: Electronic assemblies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</si>
  <si>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8524 to 8528: Other: Other: Other: Other: Light-emitting diode (LED) backlight modules, which are lighting sources that consist of one or more LEDs, and one or more connectors and are mounted on a printed circuit or other similar substrate, and other passive components, whether or not combined with optical components or protective diodes, and used as backlight illumination for liquid crystal displays (LCDs)</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</si>
  <si>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8525 to 8528: Other: Other: Other: Other: Light-emitting diode (LED) backlight modules, which are lighting sources that consist of one or more LEDs, and one or more connectors and are mounted on a printed circuit or other similar substrate, and other passive components, whether or not combined with optical components or protective diodes, and used as backlight illumination for liquid crystal displays (LCDs)</t>
  </si>
  <si>
    <t>For television cameras falling within subheadings 852581, 852582, 852583 and 852589 and apparatus of headings 8527 and 8528</t>
  </si>
  <si>
    <t>For television cameras of subheadings 85258011 and 85258019 and apparatus of headings 8527 and 8528</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</si>
  <si>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8524 to 8528: Other: Other: Other: Other: Other: For television cameras falling within subheadings 852581, 852582, 852583 and 852589 and apparatus of headings 8527 and 8528</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</si>
  <si>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8525 to 8528: Other: Other: Other: Other: Other: For television cameras of subheadings 85258011 and 85258019 and apparatus of headings 8527 and 8528</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</si>
  <si>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8524 to 8528: Other: Other: Other: Other: Other: Other</t>
  </si>
  <si>
    <t>CHAPTER 85 - ELECTRICAL MACHINERY AND EQUIPMENT AND PARTS THEREOF; SOUND RECORDERS AND REPRODUCERS, TELEVISION IMAGE AND SOUND RECORDERS AND REPRODUCERS, AND PARTS AND ACCESSORIES OF SUCH ARTICLES: Parts suitable for use solely or principally with the apparatus of headings 8525 to 8528: Other: Other: Other: Other: Other: Other</t>
  </si>
  <si>
    <t>Sealed beam lamp units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</si>
  <si>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Sealed beam lamp units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</si>
  <si>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Sealed beam lamp units</t>
  </si>
  <si>
    <t>Of a kind used for motorcycles or other motor vehicles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</si>
  <si>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Other filament lamps, excluding ultraviolet or infra-red lamps: Tungsten halogen: Of a kind used for motorcycles or other motor vehicles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</si>
  <si>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Other filament lamps, excluding ultraviolet or infra-red lamps: Tungsten halogen: Of a kind used for motorcycles or other motor vehicles</t>
  </si>
  <si>
    <t>Exceeding 100 V</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</si>
  <si>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Other filament lamps, excluding ultraviolet or infra-red lamps: Tungsten halogen: Other, for a voltage: Exceeding 100 V</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</si>
  <si>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Other filament lamps, excluding ultraviolet or infra-red lamps: Tungsten halogen: Other, for a voltage: Exceeding 100 V</t>
  </si>
  <si>
    <t>Not exceeding 100 V</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</si>
  <si>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Other filament lamps, excluding ultraviolet or infra-red lamps: Tungsten halogen: Other, for a voltage: Not exceeding 100 V</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</si>
  <si>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Other filament lamps, excluding ultraviolet or infra-red lamps: Tungsten halogen: Other, for a voltage: Not exceeding 100 V</t>
  </si>
  <si>
    <t>Reflector lamps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</si>
  <si>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Other filament lamps, excluding ultraviolet or infra-red lamps: Other, of a power not exceeding 200 W and for a voltage exceeding 100 V: Reflector lamps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</si>
  <si>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Other filament lamps, excluding ultraviolet or infra-red lamps: Other, of a power not exceeding 200 W and for a voltage exceeding 100 V: Reflector lamps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</si>
  <si>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Other filament lamps, excluding ultraviolet or infra-red lamps: Other, of a power not exceeding 200 W and for a voltage exceeding 100 V: Other</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</si>
  <si>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Other filament lamps, excluding ultraviolet or infra-red lamps: Other, of a power not exceeding 200 W and for a voltage exceeding 100 V: Other</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</si>
  <si>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Other filament lamps, excluding ultraviolet or infra-red lamps: Other: Of a kind used for motorcycles or other motor vehicles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</si>
  <si>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Other filament lamps, excluding ultraviolet or infra-red lamps: Other: Of a kind used for motorcycles or other motor vehicles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</si>
  <si>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Other filament lamps, excluding ultraviolet or infra-red lamps: Other: Other, for a voltage: Exceeding 100 V</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</si>
  <si>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Other filament lamps, excluding ultraviolet or infra-red lamps: Other: Other, for a voltage: Exceeding 100 V</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</si>
  <si>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Other filament lamps, excluding ultraviolet or infra-red lamps: Other: Other, for a voltage: Not exceeding 100 V</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</si>
  <si>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Other filament lamps, excluding ultraviolet or infra-red lamps: Other: Other, for a voltage: Not exceeding 100 V</t>
  </si>
  <si>
    <t>With double ended cap</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</si>
  <si>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Discharge lamps, other than ultraviolet lamps: Fluorescent, hot cathode: With double ended cap</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</si>
  <si>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Discharge lamps, other than ultraviolet lamps: Fluorescent, hot cathode: With double ended cap</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</si>
  <si>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Discharge lamps, other than ultraviolet lamps: Fluorescent, hot cathode: Other</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</si>
  <si>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Discharge lamps, other than ultraviolet lamps: Fluorescent, hot cathode: Other</t>
  </si>
  <si>
    <t>Mercury or sodium vapour lamps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</si>
  <si>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Discharge lamps, other than ultraviolet lamps: Mercury or sodium vapour lamps; metal halide lamps: Mercury or sodium vapour lamps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</si>
  <si>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Discharge lamps, other than ultraviolet lamps: Mercury or sodium vapour lamps; metal halide lamps: Mercury or sodium vapour lamps</t>
  </si>
  <si>
    <t>Metal halide lamps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</si>
  <si>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Discharge lamps, other than ultraviolet lamps: Mercury or sodium vapour lamps; metal halide lamps: Metal halide lamps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</si>
  <si>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Discharge lamps, other than ultraviolet lamps: Mercury or sodium vapour lamps; metal halide lamps: Metal halide lamps</t>
  </si>
  <si>
    <t>Cold-cathode fluorescent lamps (CCFLs) for backlighting of flat panel displays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</si>
  <si>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Discharge lamps, other than ultraviolet lamps: Other: Cold-cathode fluorescent lamps (CCFLs) for backlighting of flat panel displays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</si>
  <si>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Discharge lamps, other than ultraviolet lamps: Other: Cold-cathode fluorescent lamps (CCFLs) for backlighting of flat panel displays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</si>
  <si>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Discharge lamps, other than ultraviolet lamps: Other: Other</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</si>
  <si>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Discharge lamps, other than ultraviolet lamps: Other: Other</t>
  </si>
  <si>
    <t>Arc lamps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</si>
  <si>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Ultraviolet or infra-red lamps; arc lamps: Arc lamps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</si>
  <si>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Ultraviolet or infra-red lamps; arc lamps: Arc lamps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</si>
  <si>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Ultraviolet or infra-red lamps; arc lamps: Other</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</si>
  <si>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Ultraviolet or infra-red lamps; arc lamps: Other</t>
  </si>
  <si>
    <t>Lamp bases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</si>
  <si>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Parts: Lamp bases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</si>
  <si>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Parts: Lamp bases</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</si>
  <si>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light sources: Parts: Other</t>
  </si>
  <si>
    <t>CHAPTER 85 - ELECTRICAL MACHINERY AND EQUIPMENT AND PARTS THEREOF; SOUND RECORDERS AND REPRODUCERS, TELEVISION IMAGE AND SOUND RECORDERS AND REPRODUCERS, AND PARTS AND ACCESSORIES OF SUCH ARTICLES: Electric filament or discharge lamps, including sealed beam lamp units and ultraviolet or infra-red lamps; arc-lamps; light-emitting diode (LED) lamps: Parts: Other</t>
  </si>
  <si>
    <t>Diodes, other than photosensitive or light-emitting diodes (LED)</t>
  </si>
  <si>
    <t>CHAPTER 85 - ELECTRICAL MACHINERY AND EQUIPMENT AND PARTS THEREOF; SOUND RECORDERS AND REPRODUCERS, TELEVISION IMAGE AND SOUND RECORDERS AND REPRODUCERS, AND PARTS AND ACCESSORIES OF SUCH ARTICLES: Semiconductor devices (for example, diodes, transistors, semiconductor-based transducers); photosensitive semiconductor devices, including photovoltaic cells whether or not assembled in modules or made up into panels; light-emitting diodes (LED), whether or not assembled with other light-emitting diodes (LED); mounted piezo-electric crystals: Diodes, other than photosensitive or light-emitting diodes (LED)</t>
  </si>
  <si>
    <t>CHAPTER 85 - ELECTRICAL MACHINERY AND EQUIPMENT AND PARTS THEREOF; SOUND RECORDERS AND REPRODUCERS, TELEVISION IMAGE AND SOUND RECORDERS AND REPRODUCERS, AND PARTS AND ACCESSORIES OF SUCH ARTICLES: Diodes, transistors and similar semiconductor devices; photosensitive semiconductor devices, including photovoltaic cells whether or not assembled in modules or made up into panels; light-emitting diodes (LED); mounted piezoelectric crystals: Diodes, other than photosensitive or light-emitting diodes (LED)</t>
  </si>
  <si>
    <t>With a dissipation rate of less than 1 W</t>
  </si>
  <si>
    <t>CHAPTER 85 - ELECTRICAL MACHINERY AND EQUIPMENT AND PARTS THEREOF; SOUND RECORDERS AND REPRODUCERS, TELEVISION IMAGE AND SOUND RECORDERS AND REPRODUCERS, AND PARTS AND ACCESSORIES OF SUCH ARTICLES: Semiconductor devices (for example, diodes, transistors, semiconductor-based transducers); photosensitive semiconductor devices, including photovoltaic cells whether or not assembled in modules or made up into panels; light-emitting diodes (LED), whether or not assembled with other light-emitting diodes (LED); mounted piezo-electric crystals: Transistors, other than photosensitive transistors: With a dissipation rate of less than 1 W</t>
  </si>
  <si>
    <t>CHAPTER 85 - ELECTRICAL MACHINERY AND EQUIPMENT AND PARTS THEREOF; SOUND RECORDERS AND REPRODUCERS, TELEVISION IMAGE AND SOUND RECORDERS AND REPRODUCERS, AND PARTS AND ACCESSORIES OF SUCH ARTICLES: Diodes, transistors and similar semiconductor devices; photosensitive semiconductor devices, including photovoltaic cells whether or not assembled in modules or made up into panels; light-emitting diodes (LED); mounted piezoelectric crystals: Transistors, other than photosensitive transistors: With a dissipation rate of less than 1 W</t>
  </si>
  <si>
    <t>CHAPTER 85 - ELECTRICAL MACHINERY AND EQUIPMENT AND PARTS THEREOF; SOUND RECORDERS AND REPRODUCERS, TELEVISION IMAGE AND SOUND RECORDERS AND REPRODUCERS, AND PARTS AND ACCESSORIES OF SUCH ARTICLES: Semiconductor devices (for example, diodes, transistors, semiconductor-based transducers); photosensitive semiconductor devices, including photovoltaic cells whether or not assembled in modules or made up into panels; light-emitting diodes (LED), whether or not assembled with other light-emitting diodes (LED); mounted piezo-electric crystals: Transistors, other than photosensitive transistors: Other</t>
  </si>
  <si>
    <t>CHAPTER 85 - ELECTRICAL MACHINERY AND EQUIPMENT AND PARTS THEREOF; SOUND RECORDERS AND REPRODUCERS, TELEVISION IMAGE AND SOUND RECORDERS AND REPRODUCERS, AND PARTS AND ACCESSORIES OF SUCH ARTICLES: Diodes, transistors and similar semiconductor devices; photosensitive semiconductor devices, including photovoltaic cells whether or not assembled in modules or made up into panels; light-emitting diodes (LED); mounted piezoelectric crystals: Transistors, other than photosensitive transistors: Other</t>
  </si>
  <si>
    <t>Thyristors, diacs and triacs, other than photosensitive devices</t>
  </si>
  <si>
    <t>CHAPTER 85 - ELECTRICAL MACHINERY AND EQUIPMENT AND PARTS THEREOF; SOUND RECORDERS AND REPRODUCERS, TELEVISION IMAGE AND SOUND RECORDERS AND REPRODUCERS, AND PARTS AND ACCESSORIES OF SUCH ARTICLES: Semiconductor devices (for example, diodes, transistors, semiconductor-based transducers); photosensitive semiconductor devices, including photovoltaic cells whether or not assembled in modules or made up into panels; light-emitting diodes (LED), whether or not assembled with other light-emitting diodes (LED); mounted piezo-electric crystals: Thyristors, diacs and triacs, other than photosensitive devices</t>
  </si>
  <si>
    <t>CHAPTER 85 - ELECTRICAL MACHINERY AND EQUIPMENT AND PARTS THEREOF; SOUND RECORDERS AND REPRODUCERS, TELEVISION IMAGE AND SOUND RECORDERS AND REPRODUCERS, AND PARTS AND ACCESSORIES OF SUCH ARTICLES: Diodes, transistors and similar semiconductor devices; photosensitive semiconductor devices, including photovoltaic cells whether or not assembled in modules or made up into panels; light-emitting diodes (LED); mounted piezoelectric crystals: Thyristors, diacs and triacs, other than photosensitive devices</t>
  </si>
  <si>
    <t>Mounted piezo-electric crystals</t>
  </si>
  <si>
    <t>Mounted piezoelectric crystals</t>
  </si>
  <si>
    <t>CHAPTER 85 - ELECTRICAL MACHINERY AND EQUIPMENT AND PARTS THEREOF; SOUND RECORDERS AND REPRODUCERS, TELEVISION IMAGE AND SOUND RECORDERS AND REPRODUCERS, AND PARTS AND ACCESSORIES OF SUCH ARTICLES: Semiconductor devices (for example, diodes, transistors, semiconductor-based transducers); photosensitive semiconductor devices, including photovoltaic cells whether or not assembled in modules or made up into panels; light-emitting diodes (LED), whether or not assembled with other light-emitting diodes (LED); mounted piezo-electric crystals: Mounted piezo-electric crystals</t>
  </si>
  <si>
    <t>CHAPTER 85 - ELECTRICAL MACHINERY AND EQUIPMENT AND PARTS THEREOF; SOUND RECORDERS AND REPRODUCERS, TELEVISION IMAGE AND SOUND RECORDERS AND REPRODUCERS, AND PARTS AND ACCESSORIES OF SUCH ARTICLES: Diodes, transistors and similar semiconductor devices; photosensitive semiconductor devices, including photovoltaic cells whether or not assembled in modules or made up into panels; light-emitting diodes (LED); mounted piezoelectric crystals: Mounted piezoelectric crystals</t>
  </si>
  <si>
    <t>CHAPTER 85 - ELECTRICAL MACHINERY AND EQUIPMENT AND PARTS THEREOF; SOUND RECORDERS AND REPRODUCERS, TELEVISION IMAGE AND SOUND RECORDERS AND REPRODUCERS, AND PARTS AND ACCESSORIES OF SUCH ARTICLES: Semiconductor devices (for example, diodes, transistors, semiconductor-based transducers); photosensitive semiconductor devices, including photovoltaic cells whether or not assembled in modules or made up into panels; light-emitting diodes (LED), whether or not assembled with other light-emitting diodes (LED); mounted piezo-electric crystals: Parts</t>
  </si>
  <si>
    <t>CHAPTER 85 - ELECTRICAL MACHINERY AND EQUIPMENT AND PARTS THEREOF; SOUND RECORDERS AND REPRODUCERS, TELEVISION IMAGE AND SOUND RECORDERS AND REPRODUCERS, AND PARTS AND ACCESSORIES OF SUCH ARTICLES: Diodes, transistors and similar semiconductor devices; photosensitive semiconductor devices, including photovoltaic cells whether or not assembled in modules or made up into panels; light-emitting diodes (LED); mounted piezoelectric crystals: Parts</t>
  </si>
  <si>
    <t>Multi-component integrated circuits (MCOs)</t>
  </si>
  <si>
    <t>CHAPTER 85 - ELECTRICAL MACHINERY AND EQUIPMENT AND PARTS THEREOF; SOUND RECORDERS AND REPRODUCERS, TELEVISION IMAGE AND SOUND RECORDERS AND REPRODUCERS, AND PARTS AND ACCESSORIES OF SUCH ARTICLES: Electronic integrated circuits: Electronic integrated circuits: Processors and controllers, whether or not combined with memories, converters, logic circuits, amplifiers, clock and timing circuits, or other circuits: Goods specified in note 12(b)(3 and 4) to this chapter: Multi-component integrated circuits (MCOs)</t>
  </si>
  <si>
    <t>CHAPTER 85 - ELECTRICAL MACHINERY AND EQUIPMENT AND PARTS THEREOF; SOUND RECORDERS AND REPRODUCERS, TELEVISION IMAGE AND SOUND RECORDERS AND REPRODUCERS, AND PARTS AND ACCESSORIES OF SUCH ARTICLES: Electronic integrated circuits: Electronic integrated circuits: Processors and controllers, whether or not combined with memories, converters, logic circuits, amplifiers, clock and timing circuits, or other circuits: Goods specified in note 9(b)(3 and 4) to this chapter: Multi-component integrated circuits (MCOs)</t>
  </si>
  <si>
    <t>CHAPTER 85 - ELECTRICAL MACHINERY AND EQUIPMENT AND PARTS THEREOF; SOUND RECORDERS AND REPRODUCERS, TELEVISION IMAGE AND SOUND RECORDERS AND REPRODUCERS, AND PARTS AND ACCESSORIES OF SUCH ARTICLES: Electronic integrated circuits: Electronic integrated circuits: Processors and controllers, whether or not combined with memories, converters, logic circuits, amplifiers, clock and timing circuits, or other circuits: Goods specified in note 12(b)(3 and 4) to this chapter: Other</t>
  </si>
  <si>
    <t>CHAPTER 85 - ELECTRICAL MACHINERY AND EQUIPMENT AND PARTS THEREOF; SOUND RECORDERS AND REPRODUCERS, TELEVISION IMAGE AND SOUND RECORDERS AND REPRODUCERS, AND PARTS AND ACCESSORIES OF SUCH ARTICLES: Electronic integrated circuits: Electronic integrated circuits: Processors and controllers, whether or not combined with memories, converters, logic circuits, amplifiers, clock and timing circuits, or other circuits: Goods specified in note 9(b)(3 and 4) to this chapter: Other</t>
  </si>
  <si>
    <t>CHAPTER 85 - ELECTRICAL MACHINERY AND EQUIPMENT AND PARTS THEREOF; SOUND RECORDERS AND REPRODUCERS, TELEVISION IMAGE AND SOUND RECORDERS AND REPRODUCERS, AND PARTS AND ACCESSORIES OF SUCH ARTICLES: Electronic integrated circuits: Electronic integrated circuits: Memories: Goods specified in note 12(b)(3 and 4) to this chapter: Multi-component integrated circuits (MCOs)</t>
  </si>
  <si>
    <t>CHAPTER 85 - ELECTRICAL MACHINERY AND EQUIPMENT AND PARTS THEREOF; SOUND RECORDERS AND REPRODUCERS, TELEVISION IMAGE AND SOUND RECORDERS AND REPRODUCERS, AND PARTS AND ACCESSORIES OF SUCH ARTICLES: Electronic integrated circuits: Electronic integrated circuits: Memories: Goods specified in note 9(b)(3 and 4) to this chapter: Multi-component integrated circuits (MCOs)</t>
  </si>
  <si>
    <t>CHAPTER 85 - ELECTRICAL MACHINERY AND EQUIPMENT AND PARTS THEREOF; SOUND RECORDERS AND REPRODUCERS, TELEVISION IMAGE AND SOUND RECORDERS AND REPRODUCERS, AND PARTS AND ACCESSORIES OF SUCH ARTICLES: Electronic integrated circuits: Electronic integrated circuits: Memories: Goods specified in note 12(b)(3 and 4) to this chapter: Other</t>
  </si>
  <si>
    <t>CHAPTER 85 - ELECTRICAL MACHINERY AND EQUIPMENT AND PARTS THEREOF; SOUND RECORDERS AND REPRODUCERS, TELEVISION IMAGE AND SOUND RECORDERS AND REPRODUCERS, AND PARTS AND ACCESSORIES OF SUCH ARTICLES: Electronic integrated circuits: Electronic integrated circuits: Memories: Goods specified in note 9(b)(3 and 4) to this chapter: Other</t>
  </si>
  <si>
    <t>CHAPTER 85 - ELECTRICAL MACHINERY AND EQUIPMENT AND PARTS THEREOF; SOUND RECORDERS AND REPRODUCERS, TELEVISION IMAGE AND SOUND RECORDERS AND REPRODUCERS, AND PARTS AND ACCESSORIES OF SUCH ARTICLES: Electronic integrated circuits: Electronic integrated circuits: Other: Goods specified in note 12(b)(3 and 4) to this chapter: Multi-component integrated circuits (MCOs)</t>
  </si>
  <si>
    <t>CHAPTER 85 - ELECTRICAL MACHINERY AND EQUIPMENT AND PARTS THEREOF; SOUND RECORDERS AND REPRODUCERS, TELEVISION IMAGE AND SOUND RECORDERS AND REPRODUCERS, AND PARTS AND ACCESSORIES OF SUCH ARTICLES: Electronic integrated circuits: Electronic integrated circuits: Other: Goods specified in note 9(b)(3 and 4) to this chapter: Multi-component integrated circuits (MCOs)</t>
  </si>
  <si>
    <t>CHAPTER 85 - ELECTRICAL MACHINERY AND EQUIPMENT AND PARTS THEREOF; SOUND RECORDERS AND REPRODUCERS, TELEVISION IMAGE AND SOUND RECORDERS AND REPRODUCERS, AND PARTS AND ACCESSORIES OF SUCH ARTICLES: Electronic integrated circuits: Electronic integrated circuits: Other: Goods specified in note 12(b)(3 and 4) to this chapter: Other</t>
  </si>
  <si>
    <t>CHAPTER 85 - ELECTRICAL MACHINERY AND EQUIPMENT AND PARTS THEREOF; SOUND RECORDERS AND REPRODUCERS, TELEVISION IMAGE AND SOUND RECORDERS AND REPRODUCERS, AND PARTS AND ACCESSORIES OF SUCH ARTICLES: Electronic integrated circuits: Electronic integrated circuits: Other: Goods specified in note 9(b)(3 and 4) to this chapter: Other</t>
  </si>
  <si>
    <t>Of a cylinder capacity exceeding 2800 cm³</t>
  </si>
  <si>
    <t>CHAPTER 87 - VEHICLES OTHER THAN RAILWAY OR TRAMWAY ROLLING STOCK, AND PARTS AND ACCESSORIES THEREOF: Motor vehicles for the transport of ten or more persons, including the driver: With both spark-ignition internal combustion piston engine and electric motor as motors for propulsion: Of a cylinder capacity exceeding 2800 cm³</t>
  </si>
  <si>
    <t>CHAPTER 87 - VEHICLES OTHER THAN RAILWAY OR TRAMWAY ROLLING STOCK, AND PARTS AND ACCESSORIES THEREOF: Motor vehicles for the transport of ten or more persons, including the driver: With both spark-ignition internal combustion reciprocating piston engine and electric motor as motors for propulsion: Of a cylinder capacity exceeding 2800 cm³</t>
  </si>
  <si>
    <t>Of a cylinder capacity not exceeding 2800 cm³</t>
  </si>
  <si>
    <t>CHAPTER 87 - VEHICLES OTHER THAN RAILWAY OR TRAMWAY ROLLING STOCK, AND PARTS AND ACCESSORIES THEREOF: Motor vehicles for the transport of ten or more persons, including the driver: With both spark-ignition internal combustion piston engine and electric motor as motors for propulsion: Of a cylinder capacity not exceeding 2800 cm³</t>
  </si>
  <si>
    <t>CHAPTER 87 - VEHICLES OTHER THAN RAILWAY OR TRAMWAY ROLLING STOCK, AND PARTS AND ACCESSORIES THEREOF: Motor vehicles for the transport of ten or more persons, including the driver: With both spark-ignition internal combustion reciprocating piston engine and electric motor as motors for propulsion: Of a cylinder capacity not exceeding 2800 cm³</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</si>
  <si>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piston engine: Of a cylinder capacity not exceeding 1000 cm³: New</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</si>
  <si>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reciprocating piston engine: Of a cylinder capacity not exceeding 1000 cm³: New</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</si>
  <si>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piston engine: Of a cylinder capacity not exceeding 1000 cm³: Used</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</si>
  <si>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reciprocating piston engine: Of a cylinder capacity not exceeding 1000 cm³: Used</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</si>
  <si>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piston engine: Of a cylinder capacity exceeding 1000 cm³ but not exceeding 1500 cm³: New</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</si>
  <si>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reciprocating piston engine: Of a cylinder capacity exceeding 1000 cm³ but not exceeding 1500 cm³: New</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</si>
  <si>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piston engine: Of a cylinder capacity exceeding 1000 cm³ but not exceeding 1500 cm³: Used</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</si>
  <si>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reciprocating piston engine: Of a cylinder capacity exceeding 1000 cm³ but not exceeding 1500 cm³: Used</t>
  </si>
  <si>
    <t>Motor caravans</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</si>
  <si>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piston engine: Of a cylinder capacity exceeding 1500 cm³ but not exceeding 3000 cm³: New: Motor caravans</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</si>
  <si>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reciprocating piston engine: Of a cylinder capacity exceeding 1500 cm³ but not exceeding 3000 cm³: New: Motor caravans</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</si>
  <si>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piston engine: Of a cylinder capacity exceeding 1500 cm³ but not exceeding 3000 cm³: New: Other</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</si>
  <si>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reciprocating piston engine: Of a cylinder capacity exceeding 1500 cm³ but not exceeding 3000 cm³: New: Other</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</si>
  <si>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piston engine: Of a cylinder capacity exceeding 1500 cm³ but not exceeding 3000 cm³: Used</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</si>
  <si>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reciprocating piston engine: Of a cylinder capacity exceeding 1500 cm³ but not exceeding 3000 cm³: Used</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</si>
  <si>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piston engine: Of a cylinder capacity exceeding 3000 cm³: New</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</si>
  <si>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reciprocating piston engine: Of a cylinder capacity exceeding 3000 cm³: New</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</si>
  <si>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piston engine: Of a cylinder capacity exceeding 3000 cm³: Used</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</si>
  <si>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only spark-ignition internal combustion reciprocating piston engine: Of a cylinder capacity exceeding 3000 cm³: Used</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</si>
  <si>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both spark-ignition internal combustion piston engine and electric motor as motors for propulsion, other than those capable of being charged by plugging to external source of electric power: New</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</si>
  <si>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both spark-ignition internal combustion reciprocating piston engine and electric motor as motors for propulsion, other than those capable of being charged by plugging to external source of electric power: New</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</si>
  <si>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both spark-ignition internal combustion piston engine and electric motor as motors for propulsion, other than those capable of being charged by plugging to external source of electric power: Used</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</si>
  <si>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both spark-ignition internal combustion reciprocating piston engine and electric motor as motors for propulsion, other than those capable of being charged by plugging to external source of electric power: Used</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</si>
  <si>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both spark-ignition internal combustion piston engine and electric motor as motors for propulsion, capable of being charged by plugging to external source of electric power: New</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</si>
  <si>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both spark-ignition internal combustion reciprocating piston engine and electric motor as motors for propulsion, capable of being charged by plugging to external source of electric power: New</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</si>
  <si>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both spark-ignition internal combustion piston engine and electric motor as motors for propulsion, capable of being charged by plugging to external source of electric power: Used</t>
  </si>
  <si>
    <t>CHAPTER 87 - VEHICLES OTHER THAN RAILWAY OR TRAMWAY ROLLING STOCK, AND PARTS AND ACCESSORIES THEREOF: Motor cars and other motor vehicles principally designed for the transport of persons (other than those of heading 8702), including station wagons and racing cars: Other vehicles, with both spark-ignition internal combustion reciprocating piston engine and electric motor as motors for propulsion, capable of being charged by plugging to external source of electric power: Used</t>
  </si>
  <si>
    <t>CHAPTER 87 - VEHICLES OTHER THAN RAILWAY OR TRAMWAY ROLLING STOCK, AND PARTS AND ACCESSORIES THEREOF: Motor vehicles for the transport of goods: Other, with only compression-ignition internal combustion piston engine (diesel or semi-diesel): Of a gross vehicle weight not exceeding 5 tonnes: Specially designed for the transport of highly radioactive materials (Euratom)</t>
  </si>
  <si>
    <t>CHAPTER 87 - VEHICLES OTHER THAN RAILWAY OR TRAMWAY ROLLING STOCK, AND PARTS AND ACCESSORIES THEREOF: Motor vehicles for the transport of goods: Other, with compression-ignition internal combustion piston engine (diesel or semi-diesel): Of a gross vehicle weight not exceeding 5 tonnes: Specially designed for the transport of highly radioactive materials (Euratom)</t>
  </si>
  <si>
    <t>CHAPTER 87 - VEHICLES OTHER THAN RAILWAY OR TRAMWAY ROLLING STOCK, AND PARTS AND ACCESSORIES THEREOF: Motor vehicles for the transport of goods: Other, with only compression-ignition internal combustion piston engine (diesel or semi-diesel): Of a gross vehicle weight not exceeding 5 tonnes: Other: With engines of a cylinder capacity exceeding 2500 cm³: New</t>
  </si>
  <si>
    <t>CHAPTER 87 - VEHICLES OTHER THAN RAILWAY OR TRAMWAY ROLLING STOCK, AND PARTS AND ACCESSORIES THEREOF: Motor vehicles for the transport of goods: Other, with compression-ignition internal combustion piston engine (diesel or semi-diesel): Of a gross vehicle weight not exceeding 5 tonnes: Other: With engines of a cylinder capacity exceeding 2500 cm³: New</t>
  </si>
  <si>
    <t>CHAPTER 87 - VEHICLES OTHER THAN RAILWAY OR TRAMWAY ROLLING STOCK, AND PARTS AND ACCESSORIES THEREOF: Motor vehicles for the transport of goods: Other, with only compression-ignition internal combustion piston engine (diesel or semi-diesel): Of a gross vehicle weight not exceeding 5 tonnes: Other: With engines of a cylinder capacity exceeding 2500 cm³: Used</t>
  </si>
  <si>
    <t>CHAPTER 87 - VEHICLES OTHER THAN RAILWAY OR TRAMWAY ROLLING STOCK, AND PARTS AND ACCESSORIES THEREOF: Motor vehicles for the transport of goods: Other, with compression-ignition internal combustion piston engine (diesel or semi-diesel): Of a gross vehicle weight not exceeding 5 tonnes: Other: With engines of a cylinder capacity exceeding 2500 cm³: Used</t>
  </si>
  <si>
    <t>CHAPTER 87 - VEHICLES OTHER THAN RAILWAY OR TRAMWAY ROLLING STOCK, AND PARTS AND ACCESSORIES THEREOF: Motor vehicles for the transport of goods: Other, with only compression-ignition internal combustion piston engine (diesel or semi-diesel): Of a gross vehicle weight not exceeding 5 tonnes: Other: With engines of a cylinder capacity not exceeding 2500 cm³: New</t>
  </si>
  <si>
    <t>CHAPTER 87 - VEHICLES OTHER THAN RAILWAY OR TRAMWAY ROLLING STOCK, AND PARTS AND ACCESSORIES THEREOF: Motor vehicles for the transport of goods: Other, with compression-ignition internal combustion piston engine (diesel or semi-diesel): Of a gross vehicle weight not exceeding 5 tonnes: Other: With engines of a cylinder capacity not exceeding 2500 cm³: New</t>
  </si>
  <si>
    <t>CHAPTER 87 - VEHICLES OTHER THAN RAILWAY OR TRAMWAY ROLLING STOCK, AND PARTS AND ACCESSORIES THEREOF: Motor vehicles for the transport of goods: Other, with only compression-ignition internal combustion piston engine (diesel or semi-diesel): Of a gross vehicle weight not exceeding 5 tonnes: Other: With engines of a cylinder capacity not exceeding 2500 cm³: Used</t>
  </si>
  <si>
    <t>CHAPTER 87 - VEHICLES OTHER THAN RAILWAY OR TRAMWAY ROLLING STOCK, AND PARTS AND ACCESSORIES THEREOF: Motor vehicles for the transport of goods: Other, with compression-ignition internal combustion piston engine (diesel or semi-diesel): Of a gross vehicle weight not exceeding 5 tonnes: Other: With engines of a cylinder capacity not exceeding 2500 cm³: Used</t>
  </si>
  <si>
    <t>CHAPTER 87 - VEHICLES OTHER THAN RAILWAY OR TRAMWAY ROLLING STOCK, AND PARTS AND ACCESSORIES THEREOF: Motor vehicles for the transport of goods: Other, with only compression-ignition internal combustion piston engine (diesel or semi-diesel): Of a gross vehicle weight exceeding 5 tonnes but not exceeding 20 tonnes: Specially designed for the transport of highly radioactive materials (Euratom)</t>
  </si>
  <si>
    <t>CHAPTER 87 - VEHICLES OTHER THAN RAILWAY OR TRAMWAY ROLLING STOCK, AND PARTS AND ACCESSORIES THEREOF: Motor vehicles for the transport of goods: Other, with compression-ignition internal combustion piston engine (diesel or semi-diesel): Of a gross vehicle weight exceeding 5 tonnes but not exceeding 20 tonnes: Specially designed for the transport of highly radioactive materials (Euratom)</t>
  </si>
  <si>
    <t>CHAPTER 87 - VEHICLES OTHER THAN RAILWAY OR TRAMWAY ROLLING STOCK, AND PARTS AND ACCESSORIES THEREOF: Motor vehicles for the transport of goods: Other, with only compression-ignition internal combustion piston engine (diesel or semi-diesel): Of a gross vehicle weight exceeding 5 tonnes but not exceeding 20 tonnes: Other: New</t>
  </si>
  <si>
    <t>CHAPTER 87 - VEHICLES OTHER THAN RAILWAY OR TRAMWAY ROLLING STOCK, AND PARTS AND ACCESSORIES THEREOF: Motor vehicles for the transport of goods: Other, with compression-ignition internal combustion piston engine (diesel or semi-diesel): Of a gross vehicle weight exceeding 5 tonnes but not exceeding 20 tonnes: Other: New</t>
  </si>
  <si>
    <t>CHAPTER 87 - VEHICLES OTHER THAN RAILWAY OR TRAMWAY ROLLING STOCK, AND PARTS AND ACCESSORIES THEREOF: Motor vehicles for the transport of goods: Other, with only compression-ignition internal combustion piston engine (diesel or semi-diesel): Of a gross vehicle weight exceeding 5 tonnes but not exceeding 20 tonnes: Other: Used</t>
  </si>
  <si>
    <t>CHAPTER 87 - VEHICLES OTHER THAN RAILWAY OR TRAMWAY ROLLING STOCK, AND PARTS AND ACCESSORIES THEREOF: Motor vehicles for the transport of goods: Other, with compression-ignition internal combustion piston engine (diesel or semi-diesel): Of a gross vehicle weight exceeding 5 tonnes but not exceeding 20 tonnes: Other: Used</t>
  </si>
  <si>
    <t>CHAPTER 87 - VEHICLES OTHER THAN RAILWAY OR TRAMWAY ROLLING STOCK, AND PARTS AND ACCESSORIES THEREOF: Motor vehicles for the transport of goods: Other, with only compression-ignition internal combustion piston engine (diesel or semi-diesel): Of a gross vehicle weight exceeding 20 tonnes: Specially designed for the transport of highly radioactive materials (Euratom)</t>
  </si>
  <si>
    <t>CHAPTER 87 - VEHICLES OTHER THAN RAILWAY OR TRAMWAY ROLLING STOCK, AND PARTS AND ACCESSORIES THEREOF: Motor vehicles for the transport of goods: Other, with compression-ignition internal combustion piston engine (diesel or semi-diesel): Of a gross vehicle weight exceeding 20 tonnes: Specially designed for the transport of highly radioactive materials (Euratom)</t>
  </si>
  <si>
    <t>CHAPTER 87 - VEHICLES OTHER THAN RAILWAY OR TRAMWAY ROLLING STOCK, AND PARTS AND ACCESSORIES THEREOF: Motor vehicles for the transport of goods: Other, with only compression-ignition internal combustion piston engine (diesel or semi-diesel): Of a gross vehicle weight exceeding 20 tonnes: Other: New</t>
  </si>
  <si>
    <t>CHAPTER 87 - VEHICLES OTHER THAN RAILWAY OR TRAMWAY ROLLING STOCK, AND PARTS AND ACCESSORIES THEREOF: Motor vehicles for the transport of goods: Other, with compression-ignition internal combustion piston engine (diesel or semi-diesel): Of a gross vehicle weight exceeding 20 tonnes: Other: New</t>
  </si>
  <si>
    <t>CHAPTER 87 - VEHICLES OTHER THAN RAILWAY OR TRAMWAY ROLLING STOCK, AND PARTS AND ACCESSORIES THEREOF: Motor vehicles for the transport of goods: Other, with only compression-ignition internal combustion piston engine (diesel or semi-diesel): Of a gross vehicle weight exceeding 20 tonnes: Other: Used</t>
  </si>
  <si>
    <t>CHAPTER 87 - VEHICLES OTHER THAN RAILWAY OR TRAMWAY ROLLING STOCK, AND PARTS AND ACCESSORIES THEREOF: Motor vehicles for the transport of goods: Other, with compression-ignition internal combustion piston engine (diesel or semi-diesel): Of a gross vehicle weight exceeding 20 tonnes: Other: Used</t>
  </si>
  <si>
    <t>CHAPTER 87 - VEHICLES OTHER THAN RAILWAY OR TRAMWAY ROLLING STOCK, AND PARTS AND ACCESSORIES THEREOF: Motor vehicles for the transport of goods: Other, with only spark-ignition internal combustion piston engine: Of a gross vehicle weight not exceeding 5 tonnes: Specially designed for the transport of highly radioactive materials (Euratom)</t>
  </si>
  <si>
    <t>CHAPTER 87 - VEHICLES OTHER THAN RAILWAY OR TRAMWAY ROLLING STOCK, AND PARTS AND ACCESSORIES THEREOF: Motor vehicles for the transport of goods: Other, with spark-ignition internal combustion piston engine: Of a gross vehicle weight not exceeding 5 tonnes: Specially designed for the transport of highly radioactive materials (Euratom)</t>
  </si>
  <si>
    <t>CHAPTER 87 - VEHICLES OTHER THAN RAILWAY OR TRAMWAY ROLLING STOCK, AND PARTS AND ACCESSORIES THEREOF: Motor vehicles for the transport of goods: Other, with only spark-ignition internal combustion piston engine: Of a gross vehicle weight not exceeding 5 tonnes: Other: With engines of a cylinder capacity exceeding 2800 cm³: New</t>
  </si>
  <si>
    <t>CHAPTER 87 - VEHICLES OTHER THAN RAILWAY OR TRAMWAY ROLLING STOCK, AND PARTS AND ACCESSORIES THEREOF: Motor vehicles for the transport of goods: Other, with spark-ignition internal combustion piston engine: Of a gross vehicle weight not exceeding 5 tonnes: Other: With engines of a cylinder capacity exceeding 2800 cm³: New</t>
  </si>
  <si>
    <t>CHAPTER 87 - VEHICLES OTHER THAN RAILWAY OR TRAMWAY ROLLING STOCK, AND PARTS AND ACCESSORIES THEREOF: Motor vehicles for the transport of goods: Other, with only spark-ignition internal combustion piston engine: Of a gross vehicle weight not exceeding 5 tonnes: Other: With engines of a cylinder capacity exceeding 2800 cm³: Used</t>
  </si>
  <si>
    <t>CHAPTER 87 - VEHICLES OTHER THAN RAILWAY OR TRAMWAY ROLLING STOCK, AND PARTS AND ACCESSORIES THEREOF: Motor vehicles for the transport of goods: Other, with spark-ignition internal combustion piston engine: Of a gross vehicle weight not exceeding 5 tonnes: Other: With engines of a cylinder capacity exceeding 2800 cm³: Used</t>
  </si>
  <si>
    <t>CHAPTER 87 - VEHICLES OTHER THAN RAILWAY OR TRAMWAY ROLLING STOCK, AND PARTS AND ACCESSORIES THEREOF: Motor vehicles for the transport of goods: Other, with only spark-ignition internal combustion piston engine: Of a gross vehicle weight not exceeding 5 tonnes: Other: With engines of a cylinder capacity not exceeding 2800 cm³: New</t>
  </si>
  <si>
    <t>CHAPTER 87 - VEHICLES OTHER THAN RAILWAY OR TRAMWAY ROLLING STOCK, AND PARTS AND ACCESSORIES THEREOF: Motor vehicles for the transport of goods: Other, with spark-ignition internal combustion piston engine: Of a gross vehicle weight not exceeding 5 tonnes: Other: With engines of a cylinder capacity not exceeding 2800 cm³: New</t>
  </si>
  <si>
    <t>CHAPTER 87 - VEHICLES OTHER THAN RAILWAY OR TRAMWAY ROLLING STOCK, AND PARTS AND ACCESSORIES THEREOF: Motor vehicles for the transport of goods: Other, with only spark-ignition internal combustion piston engine: Of a gross vehicle weight not exceeding 5 tonnes: Other: With engines of a cylinder capacity not exceeding 2800 cm³: Used</t>
  </si>
  <si>
    <t>CHAPTER 87 - VEHICLES OTHER THAN RAILWAY OR TRAMWAY ROLLING STOCK, AND PARTS AND ACCESSORIES THEREOF: Motor vehicles for the transport of goods: Other, with spark-ignition internal combustion piston engine: Of a gross vehicle weight not exceeding 5 tonnes: Other: With engines of a cylinder capacity not exceeding 2800 cm³: Used</t>
  </si>
  <si>
    <t>CHAPTER 87 - VEHICLES OTHER THAN RAILWAY OR TRAMWAY ROLLING STOCK, AND PARTS AND ACCESSORIES THEREOF: Motor vehicles for the transport of goods: Other, with only spark-ignition internal combustion piston engine: Of a gross vehicle weight exceeding 5 tonnes: Specially designed for the transport of highly radioactive materials (Euratom)</t>
  </si>
  <si>
    <t>CHAPTER 87 - VEHICLES OTHER THAN RAILWAY OR TRAMWAY ROLLING STOCK, AND PARTS AND ACCESSORIES THEREOF: Motor vehicles for the transport of goods: Other, with spark-ignition internal combustion piston engine: Of a gross vehicle weight exceeding 5 tonnes: Specially designed for the transport of highly radioactive materials (Euratom)</t>
  </si>
  <si>
    <t>CHAPTER 87 - VEHICLES OTHER THAN RAILWAY OR TRAMWAY ROLLING STOCK, AND PARTS AND ACCESSORIES THEREOF: Motor vehicles for the transport of goods: Other, with only spark-ignition internal combustion piston engine: Of a gross vehicle weight exceeding 5 tonnes: Other: New</t>
  </si>
  <si>
    <t>CHAPTER 87 - VEHICLES OTHER THAN RAILWAY OR TRAMWAY ROLLING STOCK, AND PARTS AND ACCESSORIES THEREOF: Motor vehicles for the transport of goods: Other, with spark-ignition internal combustion piston engine: Of a gross vehicle weight exceeding 5 tonnes: Other: New</t>
  </si>
  <si>
    <t>CHAPTER 87 - VEHICLES OTHER THAN RAILWAY OR TRAMWAY ROLLING STOCK, AND PARTS AND ACCESSORIES THEREOF: Motor vehicles for the transport of goods: Other, with only spark-ignition internal combustion piston engine: Of a gross vehicle weight exceeding 5 tonnes: Other: Used</t>
  </si>
  <si>
    <t>CHAPTER 87 - VEHICLES OTHER THAN RAILWAY OR TRAMWAY ROLLING STOCK, AND PARTS AND ACCESSORIES THEREOF: Motor vehicles for the transport of goods: Other, with spark-ignition internal combustion piston engine: Of a gross vehicle weight exceeding 5 tonnes: Other: Used</t>
  </si>
  <si>
    <t>With internal combustion piston engine of a cylinder capacity not exceeding 50 cm³</t>
  </si>
  <si>
    <t>With reciprocating internal combustion piston engine of a cylinder capacity not exceeding 50 cm³</t>
  </si>
  <si>
    <t>CHAPTER 87 - VEHICLES OTHER THAN RAILWAY OR TRAMWAY ROLLING STOCK, AND PARTS AND ACCESSORIES THEREOF: Motorcycles (including mopeds) and cycles fitted with an auxiliary motor, with or without side-cars; side-cars: With internal combustion piston engine of a cylinder capacity not exceeding 50 cm³</t>
  </si>
  <si>
    <t>CHAPTER 87 - VEHICLES OTHER THAN RAILWAY OR TRAMWAY ROLLING STOCK, AND PARTS AND ACCESSORIES THEREOF: Motorcycles (including mopeds) and cycles fitted with an auxiliary motor, with or without side-cars; side-cars: With reciprocating internal combustion piston engine of a cylinder capacity not exceeding 50 cm³</t>
  </si>
  <si>
    <t>Scooters</t>
  </si>
  <si>
    <t>CHAPTER 87 - VEHICLES OTHER THAN RAILWAY OR TRAMWAY ROLLING STOCK, AND PARTS AND ACCESSORIES THEREOF: Motorcycles (including mopeds) and cycles fitted with an auxiliary motor, with or without side-cars; side-cars: With internal combustion piston engine of a cylinder capacity exceeding 50 cm³ but not exceeding 250 cm³: Scooters</t>
  </si>
  <si>
    <t>CHAPTER 87 - VEHICLES OTHER THAN RAILWAY OR TRAMWAY ROLLING STOCK, AND PARTS AND ACCESSORIES THEREOF: Motorcycles (including mopeds) and cycles fitted with an auxiliary motor, with or without side-cars; side-cars: With reciprocating internal combustion piston engine of a cylinder capacity exceeding 50 cm³ but not exceeding 250 cm³: Scooters</t>
  </si>
  <si>
    <t>Exceeding 50 cm³ but not exceeding 125 cm³</t>
  </si>
  <si>
    <t>CHAPTER 87 - VEHICLES OTHER THAN RAILWAY OR TRAMWAY ROLLING STOCK, AND PARTS AND ACCESSORIES THEREOF: Motorcycles (including mopeds) and cycles fitted with an auxiliary motor, with or without side-cars; side-cars: With internal combustion piston engine of a cylinder capacity exceeding 50 cm³ but not exceeding 250 cm³: Other, of a cylinder capacity: Exceeding 50 cm³ but not exceeding 125 cm³</t>
  </si>
  <si>
    <t>CHAPTER 87 - VEHICLES OTHER THAN RAILWAY OR TRAMWAY ROLLING STOCK, AND PARTS AND ACCESSORIES THEREOF: Motorcycles (including mopeds) and cycles fitted with an auxiliary motor, with or without side-cars; side-cars: With reciprocating internal combustion piston engine of a cylinder capacity exceeding 50 cm³ but not exceeding 250 cm³: Other, of a cylinder capacity: Exceeding 50 cm³ but not exceeding 125 cm³</t>
  </si>
  <si>
    <t>Exceeding 125 cm³ but not exceeding 250 cm³</t>
  </si>
  <si>
    <t>CHAPTER 87 - VEHICLES OTHER THAN RAILWAY OR TRAMWAY ROLLING STOCK, AND PARTS AND ACCESSORIES THEREOF: Motorcycles (including mopeds) and cycles fitted with an auxiliary motor, with or without side-cars; side-cars: With internal combustion piston engine of a cylinder capacity exceeding 50 cm³ but not exceeding 250 cm³: Other, of a cylinder capacity: Exceeding 125 cm³ but not exceeding 250 cm³</t>
  </si>
  <si>
    <t>CHAPTER 87 - VEHICLES OTHER THAN RAILWAY OR TRAMWAY ROLLING STOCK, AND PARTS AND ACCESSORIES THEREOF: Motorcycles (including mopeds) and cycles fitted with an auxiliary motor, with or without side-cars; side-cars: With reciprocating internal combustion piston engine of a cylinder capacity exceeding 50 cm³ but not exceeding 250 cm³: Other, of a cylinder capacity: Exceeding 125 cm³ but not exceeding 250 cm³</t>
  </si>
  <si>
    <t>Of a cylinder capacity exceeding 250 cm³ but not exceeding 380 cm³</t>
  </si>
  <si>
    <t>CHAPTER 87 - VEHICLES OTHER THAN RAILWAY OR TRAMWAY ROLLING STOCK, AND PARTS AND ACCESSORIES THEREOF: Motorcycles (including mopeds) and cycles fitted with an auxiliary motor, with or without side-cars; side-cars: With internal combustion piston engine of a cylinder capacity exceeding 250 cm³ but not exceeding 500 cm³: Of a cylinder capacity exceeding 250 cm³ but not exceeding 380 cm³</t>
  </si>
  <si>
    <t>CHAPTER 87 - VEHICLES OTHER THAN RAILWAY OR TRAMWAY ROLLING STOCK, AND PARTS AND ACCESSORIES THEREOF: Motorcycles (including mopeds) and cycles fitted with an auxiliary motor, with or without side-cars; side-cars: With reciprocating internal combustion piston engine of a cylinder capacity exceeding 250 cm³ but not exceeding 500 cm³: Of a cylinder capacity exceeding 250 cm³ but not exceeding 380 cm³</t>
  </si>
  <si>
    <t>Of a cylinder capacity exceeding 380 cm³ but not exceeding 500 cm³</t>
  </si>
  <si>
    <t>CHAPTER 87 - VEHICLES OTHER THAN RAILWAY OR TRAMWAY ROLLING STOCK, AND PARTS AND ACCESSORIES THEREOF: Motorcycles (including mopeds) and cycles fitted with an auxiliary motor, with or without side-cars; side-cars: With internal combustion piston engine of a cylinder capacity exceeding 250 cm³ but not exceeding 500 cm³: Of a cylinder capacity exceeding 380 cm³ but not exceeding 500 cm³</t>
  </si>
  <si>
    <t>CHAPTER 87 - VEHICLES OTHER THAN RAILWAY OR TRAMWAY ROLLING STOCK, AND PARTS AND ACCESSORIES THEREOF: Motorcycles (including mopeds) and cycles fitted with an auxiliary motor, with or without side-cars; side-cars: With reciprocating internal combustion piston engine of a cylinder capacity exceeding 250 cm³ but not exceeding 500 cm³: Of a cylinder capacity exceeding 380 cm³ but not exceeding 500 cm³</t>
  </si>
  <si>
    <t>With internal combustion piston engine of a cylinder capacity exceeding 500 cm³ but not exceeding 800 cm³</t>
  </si>
  <si>
    <t>With reciprocating internal combustion piston engine of a cylinder capacity exceeding 500 cm³ but not exceeding 800 cm³</t>
  </si>
  <si>
    <t>CHAPTER 87 - VEHICLES OTHER THAN RAILWAY OR TRAMWAY ROLLING STOCK, AND PARTS AND ACCESSORIES THEREOF: Motorcycles (including mopeds) and cycles fitted with an auxiliary motor, with or without side-cars; side-cars: With internal combustion piston engine of a cylinder capacity exceeding 500 cm³ but not exceeding 800 cm³</t>
  </si>
  <si>
    <t>CHAPTER 87 - VEHICLES OTHER THAN RAILWAY OR TRAMWAY ROLLING STOCK, AND PARTS AND ACCESSORIES THEREOF: Motorcycles (including mopeds) and cycles fitted with an auxiliary motor, with or without side-cars; side-cars: With reciprocating internal combustion piston engine of a cylinder capacity exceeding 500 cm³ but not exceeding 800 cm³</t>
  </si>
  <si>
    <t>With internal combustion piston engine of a cylinder capacity exceeding 800 cm³</t>
  </si>
  <si>
    <t>With reciprocating internal combustion piston engine of a cylinder capacity exceeding 800 cm³</t>
  </si>
  <si>
    <t>CHAPTER 87 - VEHICLES OTHER THAN RAILWAY OR TRAMWAY ROLLING STOCK, AND PARTS AND ACCESSORIES THEREOF: Motorcycles (including mopeds) and cycles fitted with an auxiliary motor, with or without side-cars; side-cars: With internal combustion piston engine of a cylinder capacity exceeding 800 cm³</t>
  </si>
  <si>
    <t>CHAPTER 87 - VEHICLES OTHER THAN RAILWAY OR TRAMWAY ROLLING STOCK, AND PARTS AND ACCESSORIES THEREOF: Motorcycles (including mopeds) and cycles fitted with an auxiliary motor, with or without side-cars; side-cars: With reciprocating internal combustion piston engine of a cylinder capacity exceeding 800 cm³</t>
  </si>
  <si>
    <t>CHAPTER 88 - AIRCRAFT, SPACECRAFT, AND PARTS THEREOF: Other aircraft (for example, helicopters, aeroplanes), except unmanned aircraft of heading 8806; spacecraft (including satellites) and suborbital and spacecraft launch vehicles: Helicopters: Of an unladen weight not exceeding 2000 kg</t>
  </si>
  <si>
    <t>CHAPTER 88 - AIRCRAFT, SPACECRAFT, AND PARTS THEREOF: Other aircraft (for example, helicopters, aeroplanes); spacecraft (including satellites) and suborbital and spacecraft launch vehicles: Helicopters: Of an unladen weight not exceeding 2000 kg</t>
  </si>
  <si>
    <t>CHAPTER 88 - AIRCRAFT, SPACECRAFT, AND PARTS THEREOF: Other aircraft (for example, helicopters, aeroplanes), except unmanned aircraft of heading 8806; spacecraft (including satellites) and suborbital and spacecraft launch vehicles: Helicopters: Of an unladen weight exceeding 2000 kg</t>
  </si>
  <si>
    <t>CHAPTER 88 - AIRCRAFT, SPACECRAFT, AND PARTS THEREOF: Other aircraft (for example, helicopters, aeroplanes); spacecraft (including satellites) and suborbital and spacecraft launch vehicles: Helicopters: Of an unladen weight exceeding 2000 kg</t>
  </si>
  <si>
    <t>Aeroplanes and other aircraft, of an unladen weight not exceeding 2000 kg</t>
  </si>
  <si>
    <t>CHAPTER 88 - AIRCRAFT, SPACECRAFT, AND PARTS THEREOF: Other aircraft (for example, helicopters, aeroplanes), except unmanned aircraft of heading 8806; spacecraft (including satellites) and suborbital and spacecraft launch vehicles: Aeroplanes and other aircraft, of an unladen weight not exceeding 2000 kg</t>
  </si>
  <si>
    <t>CHAPTER 88 - AIRCRAFT, SPACECRAFT, AND PARTS THEREOF: Other aircraft (for example, helicopters, aeroplanes); spacecraft (including satellites) and suborbital and spacecraft launch vehicles: Aeroplanes and other aircraft, of an unladen weight not exceeding 2000 kg</t>
  </si>
  <si>
    <t>Aeroplanes and other aircraft, of an unladen weight exceeding 2000 kg but not exceeding 15000 kg</t>
  </si>
  <si>
    <t>CHAPTER 88 - AIRCRAFT, SPACECRAFT, AND PARTS THEREOF: Other aircraft (for example, helicopters, aeroplanes), except unmanned aircraft of heading 8806; spacecraft (including satellites) and suborbital and spacecraft launch vehicles: Aeroplanes and other aircraft, of an unladen weight exceeding 2000 kg but not exceeding 15000 kg</t>
  </si>
  <si>
    <t>CHAPTER 88 - AIRCRAFT, SPACECRAFT, AND PARTS THEREOF: Other aircraft (for example, helicopters, aeroplanes); spacecraft (including satellites) and suborbital and spacecraft launch vehicles: Aeroplanes and other aircraft, of an unladen weight exceeding 2000 kg but not exceeding 15000 kg</t>
  </si>
  <si>
    <t>Aeroplanes and other aircraft, of an unladen weight exceeding 15000 kg</t>
  </si>
  <si>
    <t>CHAPTER 88 - AIRCRAFT, SPACECRAFT, AND PARTS THEREOF: Other aircraft (for example, helicopters, aeroplanes), except unmanned aircraft of heading 8806; spacecraft (including satellites) and suborbital and spacecraft launch vehicles: Aeroplanes and other aircraft, of an unladen weight exceeding 15000 kg</t>
  </si>
  <si>
    <t>CHAPTER 88 - AIRCRAFT, SPACECRAFT, AND PARTS THEREOF: Other aircraft (for example, helicopters, aeroplanes); spacecraft (including satellites) and suborbital and spacecraft launch vehicles: Aeroplanes and other aircraft, of an unladen weight exceeding 15000 kg</t>
  </si>
  <si>
    <t>Telecommunication satellites</t>
  </si>
  <si>
    <t>CHAPTER 88 - AIRCRAFT, SPACECRAFT, AND PARTS THEREOF: Other aircraft (for example, helicopters, aeroplanes), except unmanned aircraft of heading 8806; spacecraft (including satellites) and suborbital and spacecraft launch vehicles: Spacecraft (including satellites) and suborbital and spacecraft launch vehicles: Spacecraft (including satellites): Telecommunication satellites</t>
  </si>
  <si>
    <t>CHAPTER 88 - AIRCRAFT, SPACECRAFT, AND PARTS THEREOF: Other aircraft (for example, helicopters, aeroplanes); spacecraft (including satellites) and suborbital and spacecraft launch vehicles: Spacecraft (including satellites) and suborbital and spacecraft launch vehicles: Spacecraft (including satellites): Telecommunication satellites</t>
  </si>
  <si>
    <t>CHAPTER 88 - AIRCRAFT, SPACECRAFT, AND PARTS THEREOF: Other aircraft (for example, helicopters, aeroplanes), except unmanned aircraft of heading 8806; spacecraft (including satellites) and suborbital and spacecraft launch vehicles: Spacecraft (including satellites) and suborbital and spacecraft launch vehicles: Spacecraft (including satellites): Other</t>
  </si>
  <si>
    <t>CHAPTER 88 - AIRCRAFT, SPACECRAFT, AND PARTS THEREOF: Other aircraft (for example, helicopters, aeroplanes); spacecraft (including satellites) and suborbital and spacecraft launch vehicles: Spacecraft (including satellites) and suborbital and spacecraft launch vehicles: Spacecraft (including satellites): Other</t>
  </si>
  <si>
    <t>Suborbital and spacecraft launch vehicles</t>
  </si>
  <si>
    <t>CHAPTER 88 - AIRCRAFT, SPACECRAFT, AND PARTS THEREOF: Other aircraft (for example, helicopters, aeroplanes), except unmanned aircraft of heading 8806; spacecraft (including satellites) and suborbital and spacecraft launch vehicles: Spacecraft (including satellites) and suborbital and spacecraft launch vehicles: Suborbital and spacecraft launch vehicles</t>
  </si>
  <si>
    <t>CHAPTER 88 - AIRCRAFT, SPACECRAFT, AND PARTS THEREOF: Other aircraft (for example, helicopters, aeroplanes); spacecraft (including satellites) and suborbital and spacecraft launch vehicles: Spacecraft (including satellites) and suborbital and spacecraft launch vehicles: Suborbital and spacecraft launch vehicles</t>
  </si>
  <si>
    <t>Of a length exceeding 7,5 m</t>
  </si>
  <si>
    <t>CHAPTER 89 - SHIPS, BOATS AND FLOATING STRUCTURES: Yachts and other vessels for pleasure or sports; rowing boats and canoes: Other: Other: Other</t>
  </si>
  <si>
    <t>CHAPTER 89 - SHIPS, BOATS AND FLOATING STRUCTURES: Yachts and other vessels for pleasure or sports; rowing boats and canoes: Other: Other: Other: Of a length exceeding 7,5 m</t>
  </si>
  <si>
    <t>Disposable cameras</t>
  </si>
  <si>
    <t>CHAPTER 90 - OPTICAL, PHOTOGRAPHIC, CINEMATOGRAPHIC, MEASURING, CHECKING, PRECISION, MEDICAL OR SURGICAL INSTRUMENTS AND APPARATUS; PARTS AND ACCESSORIES THEREOF: Photographic (other than cinematographic) cameras; photographic flashlight apparatus and flashbulbs other than discharge lamps of heading 8539: Other cameras: For roll film of a width of 35 mm: Disposable cameras</t>
  </si>
  <si>
    <t>CHAPTER 90 - OPTICAL, PHOTOGRAPHIC, CINEMATOGRAPHIC, MEASURING, CHECKING, PRECISION, MEDICAL OR SURGICAL INSTRUMENTS AND APPARATUS; PARTS AND ACCESSORIES THEREOF: Photographic (other than cinematographic) cameras; photographic flashlight apparatus and flashbulbs other than discharge lamps of heading 8539: Other cameras: Other, for roll film of a width of 35 mm: Disposable cameras</t>
  </si>
  <si>
    <t>CHAPTER 90 - OPTICAL, PHOTOGRAPHIC, CINEMATOGRAPHIC, MEASURING, CHECKING, PRECISION, MEDICAL OR SURGICAL INSTRUMENTS AND APPARATUS; PARTS AND ACCESSORIES THEREOF: Photographic (other than cinematographic) cameras; photographic flashlight apparatus and flashbulbs other than discharge lamps of heading 8539: Other cameras: For roll film of a width of 35 mm: Other</t>
  </si>
  <si>
    <t>CHAPTER 90 - OPTICAL, PHOTOGRAPHIC, CINEMATOGRAPHIC, MEASURING, CHECKING, PRECISION, MEDICAL OR SURGICAL INSTRUMENTS AND APPARATUS; PARTS AND ACCESSORIES THEREOF: Photographic (other than cinematographic) cameras; photographic flashlight apparatus and flashbulbs other than discharge lamps of heading 8539: Other cameras: Other, for roll film of a width of 35 mm: Other</t>
  </si>
  <si>
    <t>Telescopes designed to form parts of machines, appliances, instruments or apparatus of this chapter or Section XVI</t>
  </si>
  <si>
    <t>Telescopes designed to form parts of machines, appliances, instruments or apparatus of this Chapter or Section XVI</t>
  </si>
  <si>
    <t>CHAPTER 90 - OPTICAL, PHOTOGRAPHIC, CINEMATOGRAPHIC, MEASURING, CHECKING, PRECISION, MEDICAL OR SURGICAL INSTRUMENTS AND APPARATUS; PARTS AND ACCESSORIES THEREOF: Lasers, other than laser diodes; other optical appliances and instruments, not specified or included elsewhere in this chapter: Telescopic sights for fitting to arms; periscopes; telescopes designed to form parts of machines, appliances, instruments or apparatus of this chapter or Section XVI: Telescopes designed to form parts of machines, appliances, instruments or apparatus of this chapter or Section XVI</t>
  </si>
  <si>
    <t>CHAPTER 90 - OPTICAL, PHOTOGRAPHIC, CINEMATOGRAPHIC, MEASURING, CHECKING, PRECISION, MEDICAL OR SURGICAL INSTRUMENTS AND APPARATUS; PARTS AND ACCESSORIES THEREOF: Liquid crystal devices not constituting articles provided for more specifically in other headings; lasers, other than laser diodes; other optical appliances and instruments, not specified or included elsewhere in this chapter: Telescopic sights for fitting to arms; periscopes; telescopes designed to form parts of machines, appliances, instruments or apparatus of this chapter or Section XVI: Telescopes designed to form parts of machines, appliances, instruments or apparatus of this Chapter or Section XVI</t>
  </si>
  <si>
    <t>CHAPTER 90 - OPTICAL, PHOTOGRAPHIC, CINEMATOGRAPHIC, MEASURING, CHECKING, PRECISION, MEDICAL OR SURGICAL INSTRUMENTS AND APPARATUS; PARTS AND ACCESSORIES THEREOF: Lasers, other than laser diodes; other optical appliances and instruments, not specified or included elsewhere in this chapter: Telescopic sights for fitting to arms; periscopes; telescopes designed to form parts of machines, appliances, instruments or apparatus of this chapter or Section XVI: Other</t>
  </si>
  <si>
    <t>CHAPTER 90 - OPTICAL, PHOTOGRAPHIC, CINEMATOGRAPHIC, MEASURING, CHECKING, PRECISION, MEDICAL OR SURGICAL INSTRUMENTS AND APPARATUS; PARTS AND ACCESSORIES THEREOF: Liquid crystal devices not constituting articles provided for more specifically in other headings; lasers, other than laser diodes; other optical appliances and instruments, not specified or included elsewhere in this chapter: Telescopic sights for fitting to arms; periscopes; telescopes designed to form parts of machines, appliances, instruments or apparatus of this chapter or Section XVI: Other</t>
  </si>
  <si>
    <t>Lasers, other than laser diodes</t>
  </si>
  <si>
    <t>CHAPTER 90 - OPTICAL, PHOTOGRAPHIC, CINEMATOGRAPHIC, MEASURING, CHECKING, PRECISION, MEDICAL OR SURGICAL INSTRUMENTS AND APPARATUS; PARTS AND ACCESSORIES THEREOF: Lasers, other than laser diodes; other optical appliances and instruments, not specified or included elsewhere in this chapter: Lasers, other than laser diodes</t>
  </si>
  <si>
    <t>CHAPTER 90 - OPTICAL, PHOTOGRAPHIC, CINEMATOGRAPHIC, MEASURING, CHECKING, PRECISION, MEDICAL OR SURGICAL INSTRUMENTS AND APPARATUS; PARTS AND ACCESSORIES THEREOF: Liquid crystal devices not constituting articles provided for more specifically in other headings; lasers, other than laser diodes; other optical appliances and instruments, not specified or included elsewhere in this chapter: Lasers, other than laser diodes</t>
  </si>
  <si>
    <t>For telescopic sights for fitting to arms or for periscopes</t>
  </si>
  <si>
    <t>CHAPTER 90 - OPTICAL, PHOTOGRAPHIC, CINEMATOGRAPHIC, MEASURING, CHECKING, PRECISION, MEDICAL OR SURGICAL INSTRUMENTS AND APPARATUS; PARTS AND ACCESSORIES THEREOF: Lasers, other than laser diodes; other optical appliances and instruments, not specified or included elsewhere in this chapter: Parts and accessories: For telescopic sights for fitting to arms or for periscopes</t>
  </si>
  <si>
    <t>CHAPTER 90 - OPTICAL, PHOTOGRAPHIC, CINEMATOGRAPHIC, MEASURING, CHECKING, PRECISION, MEDICAL OR SURGICAL INSTRUMENTS AND APPARATUS; PARTS AND ACCESSORIES THEREOF: Liquid crystal devices not constituting articles provided for more specifically in other headings; lasers, other than laser diodes; other optical appliances and instruments, not specified or included elsewhere in this chapter: Parts and accessories: For telescopic sights for fitting to arms or for periscopes</t>
  </si>
  <si>
    <t>CHAPTER 90 - OPTICAL, PHOTOGRAPHIC, CINEMATOGRAPHIC, MEASURING, CHECKING, PRECISION, MEDICAL OR SURGICAL INSTRUMENTS AND APPARATUS; PARTS AND ACCESSORIES THEREOF: Lasers, other than laser diodes; other optical appliances and instruments, not specified or included elsewhere in this chapter: Parts and accessories: Other</t>
  </si>
  <si>
    <t>CHAPTER 90 - OPTICAL, PHOTOGRAPHIC, CINEMATOGRAPHIC, MEASURING, CHECKING, PRECISION, MEDICAL OR SURGICAL INSTRUMENTS AND APPARATUS; PARTS AND ACCESSORIES THEREOF: Liquid crystal devices not constituting articles provided for more specifically in other headings; lasers, other than laser diodes; other optical appliances and instruments, not specified or included elsewhere in this chapter: Parts and accessories: Other</t>
  </si>
  <si>
    <t>Computed tomography apparatus</t>
  </si>
  <si>
    <t>CHAPTER 90 - OPTICAL, PHOTOGRAPHIC, CINEMATOGRAPHIC, MEASURING, CHECKING, PRECISION, MEDICAL OR SURGICAL INSTRUMENTS AND APPARATUS; PARTS AND ACCESSORIES THEREOF: Apparatus based on the use of X-rays or of alpha, beta, gamma or other ionising radiation, whether or not for medical, surgical, dental or veterinary uses, including radiography or radiotherapy apparatus, X-ray tubes and other X-ray generators, high tension generators, control panels and desks, screens, examination or treatment tables, chairs and the like: Apparatus based on the use of X-rays, whether or not for medical, surgical, dental or veterinary uses, including radiography or radiotherapy apparatus: Computed tomography apparatus</t>
  </si>
  <si>
    <t>CHAPTER 90 - OPTICAL, PHOTOGRAPHIC, CINEMATOGRAPHIC, MEASURING, CHECKING, PRECISION, MEDICAL OR SURGICAL INSTRUMENTS AND APPARATUS; PARTS AND ACCESSORIES THEREOF: Apparatus based on the use of X-rays or of alpha, beta or gamma radiation, whether or not for medical, surgical, dental or veterinary uses, including radiography or radiotherapy apparatus, X-ray tubes and other X-ray generators, high tension generators, control panels and desks, screens, examination or treatment tables, chairs and the like: Apparatus based on the use of X-rays, whether or not for medical, surgical, dental or veterinary uses, including radiography or radiotherapy apparatus: Computed tomography apparatus</t>
  </si>
  <si>
    <t>Other, for dental uses</t>
  </si>
  <si>
    <t>CHAPTER 90 - OPTICAL, PHOTOGRAPHIC, CINEMATOGRAPHIC, MEASURING, CHECKING, PRECISION, MEDICAL OR SURGICAL INSTRUMENTS AND APPARATUS; PARTS AND ACCESSORIES THEREOF: Apparatus based on the use of X-rays or of alpha, beta, gamma or other ionising radiation, whether or not for medical, surgical, dental or veterinary uses, including radiography or radiotherapy apparatus, X-ray tubes and other X-ray generators, high tension generators, control panels and desks, screens, examination or treatment tables, chairs and the like: Apparatus based on the use of X-rays, whether or not for medical, surgical, dental or veterinary uses, including radiography or radiotherapy apparatus: Other, for dental uses</t>
  </si>
  <si>
    <t>CHAPTER 90 - OPTICAL, PHOTOGRAPHIC, CINEMATOGRAPHIC, MEASURING, CHECKING, PRECISION, MEDICAL OR SURGICAL INSTRUMENTS AND APPARATUS; PARTS AND ACCESSORIES THEREOF: Apparatus based on the use of X-rays or of alpha, beta or gamma radiation, whether or not for medical, surgical, dental or veterinary uses, including radiography or radiotherapy apparatus, X-ray tubes and other X-ray generators, high tension generators, control panels and desks, screens, examination or treatment tables, chairs and the like: Apparatus based on the use of X-rays, whether or not for medical, surgical, dental or veterinary uses, including radiography or radiotherapy apparatus: Other, for dental uses</t>
  </si>
  <si>
    <t>Other, for medical, surgical or veterinary uses</t>
  </si>
  <si>
    <t>CHAPTER 90 - OPTICAL, PHOTOGRAPHIC, CINEMATOGRAPHIC, MEASURING, CHECKING, PRECISION, MEDICAL OR SURGICAL INSTRUMENTS AND APPARATUS; PARTS AND ACCESSORIES THEREOF: Apparatus based on the use of X-rays or of alpha, beta, gamma or other ionising radiation, whether or not for medical, surgical, dental or veterinary uses, including radiography or radiotherapy apparatus, X-ray tubes and other X-ray generators, high tension generators, control panels and desks, screens, examination or treatment tables, chairs and the like: Apparatus based on the use of X-rays, whether or not for medical, surgical, dental or veterinary uses, including radiography or radiotherapy apparatus: Other, for medical, surgical or veterinary uses</t>
  </si>
  <si>
    <t>CHAPTER 90 - OPTICAL, PHOTOGRAPHIC, CINEMATOGRAPHIC, MEASURING, CHECKING, PRECISION, MEDICAL OR SURGICAL INSTRUMENTS AND APPARATUS; PARTS AND ACCESSORIES THEREOF: Apparatus based on the use of X-rays or of alpha, beta or gamma radiation, whether or not for medical, surgical, dental or veterinary uses, including radiography or radiotherapy apparatus, X-ray tubes and other X-ray generators, high tension generators, control panels and desks, screens, examination or treatment tables, chairs and the like: Apparatus based on the use of X-rays, whether or not for medical, surgical, dental or veterinary uses, including radiography or radiotherapy apparatus: Other, for medical, surgical or veterinary uses</t>
  </si>
  <si>
    <t>For other uses</t>
  </si>
  <si>
    <t>CHAPTER 90 - OPTICAL, PHOTOGRAPHIC, CINEMATOGRAPHIC, MEASURING, CHECKING, PRECISION, MEDICAL OR SURGICAL INSTRUMENTS AND APPARATUS; PARTS AND ACCESSORIES THEREOF: Apparatus based on the use of X-rays or of alpha, beta, gamma or other ionising radiation, whether or not for medical, surgical, dental or veterinary uses, including radiography or radiotherapy apparatus, X-ray tubes and other X-ray generators, high tension generators, control panels and desks, screens, examination or treatment tables, chairs and the like: Apparatus based on the use of X-rays, whether or not for medical, surgical, dental or veterinary uses, including radiography or radiotherapy apparatus: For other uses</t>
  </si>
  <si>
    <t>CHAPTER 90 - OPTICAL, PHOTOGRAPHIC, CINEMATOGRAPHIC, MEASURING, CHECKING, PRECISION, MEDICAL OR SURGICAL INSTRUMENTS AND APPARATUS; PARTS AND ACCESSORIES THEREOF: Apparatus based on the use of X-rays or of alpha, beta or gamma radiation, whether or not for medical, surgical, dental or veterinary uses, including radiography or radiotherapy apparatus, X-ray tubes and other X-ray generators, high tension generators, control panels and desks, screens, examination or treatment tables, chairs and the like: Apparatus based on the use of X-rays, whether or not for medical, surgical, dental or veterinary uses, including radiography or radiotherapy apparatus: For other uses</t>
  </si>
  <si>
    <t>For medical, surgical, dental or veterinary uses</t>
  </si>
  <si>
    <t>CHAPTER 90 - OPTICAL, PHOTOGRAPHIC, CINEMATOGRAPHIC, MEASURING, CHECKING, PRECISION, MEDICAL OR SURGICAL INSTRUMENTS AND APPARATUS; PARTS AND ACCESSORIES THEREOF: Apparatus based on the use of X-rays or of alpha, beta, gamma or other ionising radiation, whether or not for medical, surgical, dental or veterinary uses, including radiography or radiotherapy apparatus, X-ray tubes and other X-ray generators, high tension generators, control panels and desks, screens, examination or treatment tables, chairs and the like: Apparatus based on the use of alpha, beta, gamma or other ionising radiation, whether or not for medical, surgical, dental or veterinary uses, including radiography or radiotherapy apparatus: For medical, surgical, dental or veterinary uses</t>
  </si>
  <si>
    <t>CHAPTER 90 - OPTICAL, PHOTOGRAPHIC, CINEMATOGRAPHIC, MEASURING, CHECKING, PRECISION, MEDICAL OR SURGICAL INSTRUMENTS AND APPARATUS; PARTS AND ACCESSORIES THEREOF: Apparatus based on the use of X-rays or of alpha, beta or gamma radiation, whether or not for medical, surgical, dental or veterinary uses, including radiography or radiotherapy apparatus, X-ray tubes and other X-ray generators, high tension generators, control panels and desks, screens, examination or treatment tables, chairs and the like: Apparatus based on the use of alpha, beta or gamma radiation, whether or not for medical, surgical, dental or veterinary uses, including radiography or radiotherapy apparatus: For medical, surgical, dental or veterinary uses</t>
  </si>
  <si>
    <t>CHAPTER 90 - OPTICAL, PHOTOGRAPHIC, CINEMATOGRAPHIC, MEASURING, CHECKING, PRECISION, MEDICAL OR SURGICAL INSTRUMENTS AND APPARATUS; PARTS AND ACCESSORIES THEREOF: Apparatus based on the use of X-rays or of alpha, beta, gamma or other ionising radiation, whether or not for medical, surgical, dental or veterinary uses, including radiography or radiotherapy apparatus, X-ray tubes and other X-ray generators, high tension generators, control panels and desks, screens, examination or treatment tables, chairs and the like: Apparatus based on the use of alpha, beta, gamma or other ionising radiation, whether or not for medical, surgical, dental or veterinary uses, including radiography or radiotherapy apparatus: For other uses</t>
  </si>
  <si>
    <t>CHAPTER 90 - OPTICAL, PHOTOGRAPHIC, CINEMATOGRAPHIC, MEASURING, CHECKING, PRECISION, MEDICAL OR SURGICAL INSTRUMENTS AND APPARATUS; PARTS AND ACCESSORIES THEREOF: Apparatus based on the use of X-rays or of alpha, beta or gamma radiation, whether or not for medical, surgical, dental or veterinary uses, including radiography or radiotherapy apparatus, X-ray tubes and other X-ray generators, high tension generators, control panels and desks, screens, examination or treatment tables, chairs and the like: Apparatus based on the use of alpha, beta or gamma radiation, whether or not for medical, surgical, dental or veterinary uses, including radiography or radiotherapy apparatus: For other uses</t>
  </si>
  <si>
    <t>X-ray tubes</t>
  </si>
  <si>
    <t>CHAPTER 90 - OPTICAL, PHOTOGRAPHIC, CINEMATOGRAPHIC, MEASURING, CHECKING, PRECISION, MEDICAL OR SURGICAL INSTRUMENTS AND APPARATUS; PARTS AND ACCESSORIES THEREOF: Apparatus based on the use of X-rays or of alpha, beta, gamma or other ionising radiation, whether or not for medical, surgical, dental or veterinary uses, including radiography or radiotherapy apparatus, X-ray tubes and other X-ray generators, high tension generators, control panels and desks, screens, examination or treatment tables, chairs and the like: X-ray tubes</t>
  </si>
  <si>
    <t>CHAPTER 90 - OPTICAL, PHOTOGRAPHIC, CINEMATOGRAPHIC, MEASURING, CHECKING, PRECISION, MEDICAL OR SURGICAL INSTRUMENTS AND APPARATUS; PARTS AND ACCESSORIES THEREOF: Apparatus based on the use of X-rays or of alpha, beta or gamma radiation, whether or not for medical, surgical, dental or veterinary uses, including radiography or radiotherapy apparatus, X-ray tubes and other X-ray generators, high tension generators, control panels and desks, screens, examination or treatment tables, chairs and the like: X-ray tubes</t>
  </si>
  <si>
    <t>Parts and accessories of apparatus based on the use of X-rays</t>
  </si>
  <si>
    <t>CHAPTER 90 - OPTICAL, PHOTOGRAPHIC, CINEMATOGRAPHIC, MEASURING, CHECKING, PRECISION, MEDICAL OR SURGICAL INSTRUMENTS AND APPARATUS; PARTS AND ACCESSORIES THEREOF: Apparatus based on the use of X-rays or of alpha, beta, gamma or other ionising radiation, whether or not for medical, surgical, dental or veterinary uses, including radiography or radiotherapy apparatus, X-ray tubes and other X-ray generators, high tension generators, control panels and desks, screens, examination or treatment tables, chairs and the like: Other, including parts and accessories: Parts and accessories of apparatus based on the use of X-rays</t>
  </si>
  <si>
    <t>CHAPTER 90 - OPTICAL, PHOTOGRAPHIC, CINEMATOGRAPHIC, MEASURING, CHECKING, PRECISION, MEDICAL OR SURGICAL INSTRUMENTS AND APPARATUS; PARTS AND ACCESSORIES THEREOF: Apparatus based on the use of X-rays or of alpha, beta or gamma radiation, whether or not for medical, surgical, dental or veterinary uses, including radiography or radiotherapy apparatus, X-ray tubes and other X-ray generators, high tension generators, control panels and desks, screens, examination or treatment tables, chairs and the like: Other, including parts and accessories: Parts and accessories of apparatus based on the use of X-rays</t>
  </si>
  <si>
    <t>CHAPTER 90 - OPTICAL, PHOTOGRAPHIC, CINEMATOGRAPHIC, MEASURING, CHECKING, PRECISION, MEDICAL OR SURGICAL INSTRUMENTS AND APPARATUS; PARTS AND ACCESSORIES THEREOF: Apparatus based on the use of X-rays or of alpha, beta, gamma or other ionising radiation, whether or not for medical, surgical, dental or veterinary uses, including radiography or radiotherapy apparatus, X-ray tubes and other X-ray generators, high tension generators, control panels and desks, screens, examination or treatment tables, chairs and the like: Other, including parts and accessories: Other</t>
  </si>
  <si>
    <t>CHAPTER 90 - OPTICAL, PHOTOGRAPHIC, CINEMATOGRAPHIC, MEASURING, CHECKING, PRECISION, MEDICAL OR SURGICAL INSTRUMENTS AND APPARATUS; PARTS AND ACCESSORIES THEREOF: Apparatus based on the use of X-rays or of alpha, beta or gamma radiation, whether or not for medical, surgical, dental or veterinary uses, including radiography or radiotherapy apparatus, X-ray tubes and other X-ray generators, high tension generators, control panels and desks, screens, examination or treatment tables, chairs and the like: Other, including parts and accessories: Other</t>
  </si>
  <si>
    <t>Multimeters, without a recording device</t>
  </si>
  <si>
    <t>CHAPTER 90 - OPTICAL, PHOTOGRAPHIC, CINEMATOGRAPHIC, MEASURING, CHECKING, PRECISION, MEDICAL OR SURGICAL INSTRUMENTS AND APPARATUS; PARTS AND ACCESSORIES THEREOF: Oscilloscopes, spectrum analysers and other instruments and apparatus for measuring or checking electrical quantities, excluding meters of heading 9028; instruments and apparatus for measuring or detecting alpha, beta, gamma, X-ray, cosmic or other ionising radiation: Other instruments and apparatus, for measuring or checking voltage, current, resistance or power (other than those for measuring or checking semiconductor wafers or devices): Multimeters, without a recording device</t>
  </si>
  <si>
    <t>CHAPTER 90 - OPTICAL, PHOTOGRAPHIC, CINEMATOGRAPHIC, MEASURING, CHECKING, PRECISION, MEDICAL OR SURGICAL INSTRUMENTS AND APPARATUS; PARTS AND ACCESSORIES THEREOF: Oscilloscopes, spectrum analysers and other instruments and apparatus for measuring or checking electrical quantities, excluding meters of heading 9028; instruments and apparatus for measuring or detecting alpha, beta, gamma, X-ray, cosmic or other ionising radiation: Other instruments and apparatus, for measuring or checking voltage, current, resistance or power: Multimeters, without a recording device</t>
  </si>
  <si>
    <t>Multimeters, with a recording device</t>
  </si>
  <si>
    <t>CHAPTER 90 - OPTICAL, PHOTOGRAPHIC, CINEMATOGRAPHIC, MEASURING, CHECKING, PRECISION, MEDICAL OR SURGICAL INSTRUMENTS AND APPARATUS; PARTS AND ACCESSORIES THEREOF: Oscilloscopes, spectrum analysers and other instruments and apparatus for measuring or checking electrical quantities, excluding meters of heading 9028; instruments and apparatus for measuring or detecting alpha, beta, gamma, X-ray, cosmic or other ionising radiation: Other instruments and apparatus, for measuring or checking voltage, current, resistance or power (other than those for measuring or checking semiconductor wafers or devices): Multimeters, with a recording device</t>
  </si>
  <si>
    <t>CHAPTER 90 - OPTICAL, PHOTOGRAPHIC, CINEMATOGRAPHIC, MEASURING, CHECKING, PRECISION, MEDICAL OR SURGICAL INSTRUMENTS AND APPARATUS; PARTS AND ACCESSORIES THEREOF: Oscilloscopes, spectrum analysers and other instruments and apparatus for measuring or checking electrical quantities, excluding meters of heading 9028; instruments and apparatus for measuring or detecting alpha, beta, gamma, X-ray, cosmic or other ionising radiation: Other instruments and apparatus, for measuring or checking voltage, current, resistance or power: Multimeters, with a recording device</t>
  </si>
  <si>
    <t>Resistance measuring instruments</t>
  </si>
  <si>
    <t>CHAPTER 90 - OPTICAL, PHOTOGRAPHIC, CINEMATOGRAPHIC, MEASURING, CHECKING, PRECISION, MEDICAL OR SURGICAL INSTRUMENTS AND APPARATUS; PARTS AND ACCESSORIES THEREOF: Oscilloscopes, spectrum analysers and other instruments and apparatus for measuring or checking electrical quantities, excluding meters of heading 9028; instruments and apparatus for measuring or detecting alpha, beta, gamma, X-ray, cosmic or other ionising radiation: Other instruments and apparatus, for measuring or checking voltage, current, resistance or power (other than those for measuring or checking semiconductor wafers or devices): Other, without a recording device: Resistance measuring instruments</t>
  </si>
  <si>
    <t>CHAPTER 90 - OPTICAL, PHOTOGRAPHIC, CINEMATOGRAPHIC, MEASURING, CHECKING, PRECISION, MEDICAL OR SURGICAL INSTRUMENTS AND APPARATUS; PARTS AND ACCESSORIES THEREOF: Oscilloscopes, spectrum analysers and other instruments and apparatus for measuring or checking electrical quantities, excluding meters of heading 9028; instruments and apparatus for measuring or detecting alpha, beta, gamma, X-ray, cosmic or other ionising radiation: Other instruments and apparatus, for measuring or checking voltage, current, resistance or power: Other, without a recording device: Resistance measuring instruments</t>
  </si>
  <si>
    <t>CHAPTER 90 - OPTICAL, PHOTOGRAPHIC, CINEMATOGRAPHIC, MEASURING, CHECKING, PRECISION, MEDICAL OR SURGICAL INSTRUMENTS AND APPARATUS; PARTS AND ACCESSORIES THEREOF: Oscilloscopes, spectrum analysers and other instruments and apparatus for measuring or checking electrical quantities, excluding meters of heading 9028; instruments and apparatus for measuring or detecting alpha, beta, gamma, X-ray, cosmic or other ionising radiation: Other instruments and apparatus, for measuring or checking voltage, current, resistance or power (other than those for measuring or checking semiconductor wafers or devices): Other, without a recording device: Other</t>
  </si>
  <si>
    <t>CHAPTER 90 - OPTICAL, PHOTOGRAPHIC, CINEMATOGRAPHIC, MEASURING, CHECKING, PRECISION, MEDICAL OR SURGICAL INSTRUMENTS AND APPARATUS; PARTS AND ACCESSORIES THEREOF: Oscilloscopes, spectrum analysers and other instruments and apparatus for measuring or checking electrical quantities, excluding meters of heading 9028; instruments and apparatus for measuring or detecting alpha, beta, gamma, X-ray, cosmic or other ionising radiation: Other instruments and apparatus, for measuring or checking voltage, current, resistance or power: Other, without a recording device: Other</t>
  </si>
  <si>
    <t>Other, with a recording device</t>
  </si>
  <si>
    <t>CHAPTER 90 - OPTICAL, PHOTOGRAPHIC, CINEMATOGRAPHIC, MEASURING, CHECKING, PRECISION, MEDICAL OR SURGICAL INSTRUMENTS AND APPARATUS; PARTS AND ACCESSORIES THEREOF: Oscilloscopes, spectrum analysers and other instruments and apparatus for measuring or checking electrical quantities, excluding meters of heading 9028; instruments and apparatus for measuring or detecting alpha, beta, gamma, X-ray, cosmic or other ionising radiation: Other instruments and apparatus, for measuring or checking voltage, current, resistance or power (other than those for measuring or checking semiconductor wafers or devices): Other, with a recording device</t>
  </si>
  <si>
    <t>CHAPTER 90 - OPTICAL, PHOTOGRAPHIC, CINEMATOGRAPHIC, MEASURING, CHECKING, PRECISION, MEDICAL OR SURGICAL INSTRUMENTS AND APPARATUS; PARTS AND ACCESSORIES THEREOF: Oscilloscopes, spectrum analysers and other instruments and apparatus for measuring or checking electrical quantities, excluding meters of heading 9028; instruments and apparatus for measuring or detecting alpha, beta, gamma, X-ray, cosmic or other ionising radiation: Other instruments and apparatus, for measuring or checking voltage, current, resistance or power: Other, with a recording device</t>
  </si>
  <si>
    <t>For measuring or checking semiconductor wafers or devices (including integrated circuits)</t>
  </si>
  <si>
    <t>For measuring or checking semiconductor wafers or devices</t>
  </si>
  <si>
    <t>CHAPTER 90 - OPTICAL, PHOTOGRAPHIC, CINEMATOGRAPHIC, MEASURING, CHECKING, PRECISION, MEDICAL OR SURGICAL INSTRUMENTS AND APPARATUS; PARTS AND ACCESSORIES THEREOF: Oscilloscopes, spectrum analysers and other instruments and apparatus for measuring or checking electrical quantities, excluding meters of heading 9028; instruments and apparatus for measuring or detecting alpha, beta, gamma, X-ray, cosmic or other ionising radiation: Other instruments and apparatus: For measuring or checking semiconductor wafers or devices (including integrated circuits)</t>
  </si>
  <si>
    <t>CHAPTER 90 - OPTICAL, PHOTOGRAPHIC, CINEMATOGRAPHIC, MEASURING, CHECKING, PRECISION, MEDICAL OR SURGICAL INSTRUMENTS AND APPARATUS; PARTS AND ACCESSORIES THEREOF: Oscilloscopes, spectrum analysers and other instruments and apparatus for measuring or checking electrical quantities, excluding meters of heading 9028; instruments and apparatus for measuring or detecting alpha, beta, gamma, X-ray, cosmic or other ionising radiation: Other instruments and apparatus: For measuring or checking semiconductor wafers or devices</t>
  </si>
  <si>
    <t>For inspecting semiconductor wafers or devices (including integrated circuits) or for inspecting photomasks or reticles used in manufacturing semiconductor devices (including integrated circuits)</t>
  </si>
  <si>
    <t>For inspecting semiconductor wafers or devices or for inspecting photomasks or reticles used in manufacturing semiconductor devices</t>
  </si>
  <si>
    <t>CHAPTER 90 - OPTICAL, PHOTOGRAPHIC, CINEMATOGRAPHIC, MEASURING, CHECKING, PRECISION, MEDICAL OR SURGICAL INSTRUMENTS AND APPARATUS; PARTS AND ACCESSORIES THEREOF: Measuring or checking instruments, appliances and machines, not specified or included elsewhere in this chapter; profile projectors: Other optical instruments and appliances: For inspecting semiconductor wafers or devices (including integrated circuits) or for inspecting photomasks or reticles used in manufacturing semiconductor devices (including integrated circuits)</t>
  </si>
  <si>
    <t>CHAPTER 90 - OPTICAL, PHOTOGRAPHIC, CINEMATOGRAPHIC, MEASURING, CHECKING, PRECISION, MEDICAL OR SURGICAL INSTRUMENTS AND APPARATUS; PARTS AND ACCESSORIES THEREOF: Measuring or checking instruments, appliances and machines, not specified or included elsewhere in this chapter; profile projectors: Other optical instruments and appliances: For inspecting semiconductor wafers or devices or for inspecting photomasks or reticles used in manufacturing semiconductor devices</t>
  </si>
  <si>
    <t>Seats of a kind used for aircraft</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</si>
  <si>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Seats of a kind used for aircraft</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</si>
  <si>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Seats of a kind used for aircraft</t>
  </si>
  <si>
    <t>Seats of a kind used for motor vehicles</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</si>
  <si>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Seats of a kind used for motor vehicles</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</si>
  <si>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Seats of a kind used for motor vehicles</t>
  </si>
  <si>
    <t>Of bamboo</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</si>
  <si>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Seats of cane, osier, bamboo or similar materials: Of bamboo</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</si>
  <si>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Seats of cane, osier, bamboo or similar materials: Of bamboo</t>
  </si>
  <si>
    <t>Of rattan</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</si>
  <si>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Seats of cane, osier, bamboo or similar materials: Of rattan</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</si>
  <si>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Seats of cane, osier, bamboo or similar materials: Of rattan</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</si>
  <si>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Seats of cane, osier, bamboo or similar materials: Other</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</si>
  <si>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Seats of cane, osier, bamboo or similar materials: Other</t>
  </si>
  <si>
    <t>Upholstered</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</si>
  <si>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Other seats, with wooden frames: Upholstered</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</si>
  <si>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Other seats, with wooden frames: Upholstered</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</si>
  <si>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Other seats, with wooden frames: Other</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</si>
  <si>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Other seats, with wooden frames: Other</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</si>
  <si>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Other seats, with metal frames: Upholstered</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</si>
  <si>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Other seats, with metal frames: Upholstered</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</si>
  <si>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Other seats, with metal frames: Other</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</si>
  <si>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Other seats, with metal frames: Other</t>
  </si>
  <si>
    <t>Other seats</t>
  </si>
  <si>
    <t>CHAPTER 94 - FURNITURE; BEDDING, MATTRESSES, MATTRESS SUPPORTS, CUSHIONS AND SIMILAR STUFFED FURNISHINGS; LUMINAIRES AND LIGHTING FITTINGS, NOT ELSEWHERE SPECIFIED OR INCLUDED; ILLUMINATED SIGNS, ILLUMINATED NAMEPLATES AND THE LIKE; PREFABRICATED BUILDINGS: Seats (other than those of heading 9402), whether or not convertible into beds, and parts thereof: Other seats</t>
  </si>
  <si>
    <t>CHAPTER 94 - FURNITURE; BEDDING, MATTRESSES, MATTRESS SUPPORTS, CUSHIONS AND SIMILAR STUFFED FURNISHINGS; LAMPS AND LIGHTING FITTINGS, NOT ELSEWHERE SPECIFIED OR INCLUDED; ILLUMINATED SIGNS, ILLUMINATED NAMEPLATES AND THE LIKE; PREFABRICATED BUILDINGS: Seats (other than those of heading 9402), whether or not convertible into beds, and parts thereof: Other seats</t>
  </si>
  <si>
    <t>Dentists', barbers' or similar chairs and parts thereof</t>
  </si>
  <si>
    <t>CHAPTER 94 - FURNITURE; BEDDING, MATTRESSES, MATTRESS SUPPORTS, CUSHIONS AND SIMILAR STUFFED FURNISHINGS; LUMINAIRES AND LIGHTING FITTINGS, NOT ELSEWHERE SPECIFIED OR INCLUDED; ILLUMINATED SIGNS, ILLUMINATED NAMEPLATES AND THE LIKE; PREFABRICATED BUILDINGS: 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 Dentists', barbers' or similar chairs and parts thereof</t>
  </si>
  <si>
    <t>CHAPTER 94 - FURNITURE; BEDDING, MATTRESSES, MATTRESS SUPPORTS, CUSHIONS AND SIMILAR STUFFED FURNISHINGS; LAMPS AND LIGHTING FITTINGS, NOT ELSEWHERE SPECIFIED OR INCLUDED; ILLUMINATED SIGNS, ILLUMINATED NAMEPLATES AND THE LIKE; PREFABRICATED BUILDINGS: 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 Dentists', barbers' or similar chairs and parts thereof</t>
  </si>
  <si>
    <t>CHAPTER 94 - FURNITURE; BEDDING, MATTRESSES, MATTRESS SUPPORTS, CUSHIONS AND SIMILAR STUFFED FURNISHINGS; LUMINAIRES AND LIGHTING FITTINGS, NOT ELSEWHERE SPECIFIED OR INCLUDED; ILLUMINATED SIGNS, ILLUMINATED NAMEPLATES AND THE LIKE; PREFABRICATED BUILDINGS: 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 Other</t>
  </si>
  <si>
    <t>CHAPTER 94 - FURNITURE; BEDDING, MATTRESSES, MATTRESS SUPPORTS, CUSHIONS AND SIMILAR STUFFED FURNISHINGS; LAMPS AND LIGHTING FITTINGS, NOT ELSEWHERE SPECIFIED OR INCLUDED; ILLUMINATED SIGNS, ILLUMINATED NAMEPLATES AND THE LIKE; PREFABRICATED BUILDINGS: 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 Other</t>
  </si>
  <si>
    <t>Desks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</si>
  <si>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Metal furniture of a kind used in offices: Not exceeding 80 cm in height: Desks</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</si>
  <si>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Metal furniture of a kind used in offices: Not exceeding 80 cm in height: Desks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</si>
  <si>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Metal furniture of a kind used in offices: Not exceeding 80 cm in height: Other</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</si>
  <si>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Metal furniture of a kind used in offices: Not exceeding 80 cm in height: Other</t>
  </si>
  <si>
    <t>Cupboards with doors, shutters or flaps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</si>
  <si>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Metal furniture of a kind used in offices: Exceeding 80 cm in height: Cupboards with doors, shutters or flaps</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</si>
  <si>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Metal furniture of a kind used in offices: Exceeding 80 cm in height: Cupboards with doors, shutters or flaps</t>
  </si>
  <si>
    <t>Filing, card-index and other cabinets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</si>
  <si>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Metal furniture of a kind used in offices: Exceeding 80 cm in height: Filing, card-index and other cabinets</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</si>
  <si>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Metal furniture of a kind used in offices: Exceeding 80 cm in height: Filing, card-index and other cabinets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</si>
  <si>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Metal furniture of a kind used in offices: Exceeding 80 cm in height: Other</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</si>
  <si>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Metal furniture of a kind used in offices: Exceeding 80 cm in height: Other</t>
  </si>
  <si>
    <t>Beds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</si>
  <si>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Other metal furniture: Beds</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</si>
  <si>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Other metal furniture: Beds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</si>
  <si>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Other metal furniture: Other</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</si>
  <si>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Other metal furniture: Other</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</si>
  <si>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Wooden furniture of a kind used in offices: Not exceeding 80 cm in height: Desks</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</si>
  <si>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Wooden furniture of a kind used in offices: Not exceeding 80 cm in height: Desks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</si>
  <si>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Wooden furniture of a kind used in offices: Not exceeding 80 cm in height: Other</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</si>
  <si>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Wooden furniture of a kind used in offices: Not exceeding 80 cm in height: Other</t>
  </si>
  <si>
    <t>Cupboards with doors, shutters or flaps; filing, card-index and other cabinets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</si>
  <si>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Wooden furniture of a kind used in offices: Exceeding 80 cm in height: Cupboards with doors, shutters or flaps; filing, card-index and other cabinets</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</si>
  <si>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Wooden furniture of a kind used in offices: Exceeding 80 cm in height: Cupboards with doors, shutters or flaps; filing, card-index and other cabinets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</si>
  <si>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Wooden furniture of a kind used in offices: Exceeding 80 cm in height: Other</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</si>
  <si>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Wooden furniture of a kind used in offices: Exceeding 80 cm in height: Other</t>
  </si>
  <si>
    <t>Fitted kitchen units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</si>
  <si>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Wooden furniture of a kind used in the kitchen: Fitted kitchen units</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</si>
  <si>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Wooden furniture of a kind used in the kitchen: Fitted kitchen units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</si>
  <si>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Wooden furniture of a kind used in the kitchen: Other</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</si>
  <si>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Wooden furniture of a kind used in the kitchen: Other</t>
  </si>
  <si>
    <t>Wooden furniture of a kind used in the bedroom</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</si>
  <si>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Wooden furniture of a kind used in the bedroom</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</si>
  <si>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Wooden furniture of a kind used in the bedroom</t>
  </si>
  <si>
    <t>Wooden furniture of a kind used in the dining room and the living room</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</si>
  <si>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Other wooden furniture: Wooden furniture of a kind used in the dining room and the living room</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</si>
  <si>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Other wooden furniture: Wooden furniture of a kind used in the dining room and the living room</t>
  </si>
  <si>
    <t>Wooden furniture of a kind used in shops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</si>
  <si>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Other wooden furniture: Wooden furniture of a kind used in shops</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</si>
  <si>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Other wooden furniture: Wooden furniture of a kind used in shops</t>
  </si>
  <si>
    <t>Other wooden furniture</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</si>
  <si>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Other wooden furniture: Other wooden furniture</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</si>
  <si>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Other wooden furniture: Other wooden furniture</t>
  </si>
  <si>
    <t>Furniture of plastics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</si>
  <si>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Furniture of plastics</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</si>
  <si>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Furniture of plastics</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</si>
  <si>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Furniture of other materials, including cane, osier, bamboo or similar materials: Of bamboo</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</si>
  <si>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Furniture of other materials, including cane, osier, bamboo or similar materials: Of bamboo</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</si>
  <si>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Furniture of other materials, including cane, osier, bamboo or similar materials: Of rattan</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</si>
  <si>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Furniture of other materials, including cane, osier, bamboo or similar materials: Of rattan</t>
  </si>
  <si>
    <t>CHAPTER 94 - FURNITURE; BEDDING, MATTRESSES, MATTRESS SUPPORTS, CUSHIONS AND SIMILAR STUFFED FURNISHINGS; LUMINAIRES AND LIGHTING FITTINGS, NOT ELSEWHERE SPECIFIED OR INCLUDED; ILLUMINATED SIGNS, ILLUMINATED NAMEPLATES AND THE LIKE; PREFABRICATED BUILDINGS: Other furniture and parts thereof: Furniture of other materials, including cane, osier, bamboo or similar materials: Other</t>
  </si>
  <si>
    <t>CHAPTER 94 - FURNITURE; BEDDING, MATTRESSES, MATTRESS SUPPORTS, CUSHIONS AND SIMILAR STUFFED FURNISHINGS; LAMPS AND LIGHTING FITTINGS, NOT ELSEWHERE SPECIFIED OR INCLUDED; ILLUMINATED SIGNS, ILLUMINATED NAMEPLATES AND THE LIKE; PREFABRICATED BUILDINGS: Other furniture and parts thereof: Furniture of other materials, including cane, osier, bamboo or similar materials: Other</t>
  </si>
  <si>
    <t>Mattress supports</t>
  </si>
  <si>
    <t>CHAPTER 94 - FURNITURE; BEDDING, MATTRESSES, MATTRESS SUPPORTS, CUSHIONS AND SIMILAR STUFFED FURNISHINGS; LUMINAIRES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Mattress supports</t>
  </si>
  <si>
    <t>CHAPTER 94 - FURNITURE; BEDDING, MATTRESSES, MATTRESS SUPPORTS, CUSHIONS AND SIMILAR STUFFED FURNISHINGS; LAMPS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Mattress supports</t>
  </si>
  <si>
    <t>Of rubber</t>
  </si>
  <si>
    <t>CHAPTER 94 - FURNITURE; BEDDING, MATTRESSES, MATTRESS SUPPORTS, CUSHIONS AND SIMILAR STUFFED FURNISHINGS; LUMINAIRES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Mattresses: Of cellular rubber or plastics, whether or not covered: Of rubber</t>
  </si>
  <si>
    <t>CHAPTER 94 - FURNITURE; BEDDING, MATTRESSES, MATTRESS SUPPORTS, CUSHIONS AND SIMILAR STUFFED FURNISHINGS; LAMPS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Mattresses: Of cellular rubber or plastics, whether or not covered: Of rubber</t>
  </si>
  <si>
    <t>CHAPTER 94 - FURNITURE; BEDDING, MATTRESSES, MATTRESS SUPPORTS, CUSHIONS AND SIMILAR STUFFED FURNISHINGS; LUMINAIRES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Mattresses: Of cellular rubber or plastics, whether or not covered: Of plastics</t>
  </si>
  <si>
    <t>CHAPTER 94 - FURNITURE; BEDDING, MATTRESSES, MATTRESS SUPPORTS, CUSHIONS AND SIMILAR STUFFED FURNISHINGS; LAMPS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Mattresses: Of cellular rubber or plastics, whether or not covered: Of plastics</t>
  </si>
  <si>
    <t>Spring interior</t>
  </si>
  <si>
    <t>CHAPTER 94 - FURNITURE; BEDDING, MATTRESSES, MATTRESS SUPPORTS, CUSHIONS AND SIMILAR STUFFED FURNISHINGS; LUMINAIRES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Mattresses: Of other materials: Spring interior</t>
  </si>
  <si>
    <t>CHAPTER 94 - FURNITURE; BEDDING, MATTRESSES, MATTRESS SUPPORTS, CUSHIONS AND SIMILAR STUFFED FURNISHINGS; LAMPS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Mattresses: Of other materials: Spring interior</t>
  </si>
  <si>
    <t>CHAPTER 94 - FURNITURE; BEDDING, MATTRESSES, MATTRESS SUPPORTS, CUSHIONS AND SIMILAR STUFFED FURNISHINGS; LUMINAIRES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Mattresses: Of other materials: Other</t>
  </si>
  <si>
    <t>CHAPTER 94 - FURNITURE; BEDDING, MATTRESSES, MATTRESS SUPPORTS, CUSHIONS AND SIMILAR STUFFED FURNISHINGS; LAMPS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Mattresses: Of other materials: Other</t>
  </si>
  <si>
    <t>Sleeping bags</t>
  </si>
  <si>
    <t>CHAPTER 94 - FURNITURE; BEDDING, MATTRESSES, MATTRESS SUPPORTS, CUSHIONS AND SIMILAR STUFFED FURNISHINGS; LUMINAIRES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Sleeping bags</t>
  </si>
  <si>
    <t>CHAPTER 94 - FURNITURE; BEDDING, MATTRESSES, MATTRESS SUPPORTS, CUSHIONS AND SIMILAR STUFFED FURNISHINGS; LAMPS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Sleeping bags</t>
  </si>
  <si>
    <t>CHAPTER 94 - FURNITURE; BEDDING, MATTRESSES, MATTRESS SUPPORTS, CUSHIONS AND SIMILAR STUFFED FURNISHINGS; LUMINAIRES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Other: Filled with feathers or down</t>
  </si>
  <si>
    <t>CHAPTER 94 - FURNITURE; BEDDING, MATTRESSES, MATTRESS SUPPORTS, CUSHIONS AND SIMILAR STUFFED FURNISHINGS; LAMPS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Other: Filled with feathers or down</t>
  </si>
  <si>
    <t>CHAPTER 94 - FURNITURE; BEDDING, MATTRESSES, MATTRESS SUPPORTS, CUSHIONS AND SIMILAR STUFFED FURNISHINGS; LUMINAIRES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Other: Other</t>
  </si>
  <si>
    <t>CHAPTER 94 - FURNITURE; BEDDING, MATTRESSES, MATTRESS SUPPORTS, CUSHIONS AND SIMILAR STUFFED FURNISHINGS; LAMPS AND LIGHTING FITTINGS, NOT ELSEWHERE SPECIFIED OR INCLUDED; ILLUMINATED SIGNS, ILLUMINATED NAMEPLATES AND THE LIKE; PREFABRICATED BUILDINGS: Mattress supports; articles of bedding and similar furnishing (for example, mattresses, quilts, eiderdowns, cushions, pouffes and pillows) fitted with springs or stuffed or internally fitted with any material or of cellular rubber or plastics, whether or not covered: Other: Other</t>
  </si>
  <si>
    <t>Non-electrical luminaires and lighting fittings</t>
  </si>
  <si>
    <t>Non-electrical lamps and lighting fittings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</si>
  <si>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Non-electrical luminaires and lighting fittings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</si>
  <si>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Non-electrical lamps and lighting fittings</t>
  </si>
  <si>
    <t>Articles for electrical lighting fittings (excluding searchlights and spotlights)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</si>
  <si>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Parts: Of glass: Articles for electrical lighting fittings (excluding searchlights and spotlights)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</si>
  <si>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Parts: Of glass: Articles for electrical lighting fittings (excluding searchlights and spotlights)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</si>
  <si>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Parts: Of glass: Other</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</si>
  <si>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Parts: Of glass: Other</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</si>
  <si>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Parts: Of plastics</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</si>
  <si>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Parts: Of plastics</t>
  </si>
  <si>
    <t>CHAPTER 94 - FURNITURE; BEDDING, MATTRESSES, MATTRESS SUPPORTS, CUSHIONS AND SIMILAR STUFFED FURNISHINGS; LUMINAIRES AND LIGHTING FITTINGS, NOT ELSEWHERE SPECIFIED OR INCLUDED; ILLUMINATED SIGNS, ILLUMINATED NAMEPLATES AND THE LIKE; PREFABRICATED BUILDINGS: Luminaires and lighting fittings including searchlights and spotlights and parts thereof, not elsewhere specified or included; illuminated signs, illuminated nameplates and the like, having a permanently fixed light source, and parts thereof not elsewhere specified or included: Parts: Other</t>
  </si>
  <si>
    <t>CHAPTER 94 - FURNITURE; BEDDING, MATTRESSES, MATTRESS SUPPORTS, CUSHIONS AND SIMILAR STUFFED FURNISHINGS; LAMPS AND LIGHTING FITTINGS, NOT ELSEWHERE SPECIFIED OR INCLUDED; ILLUMINATED SIGNS, ILLUMINATED NAMEPLATES AND THE LIKE; PREFABRICATED BUILDINGS: Lamps and lighting fittings including searchlights and spotlights and parts thereof, not elsewhere specified or included; illuminated signs, illuminated nameplates and the like, having a permanently fixed light source, and parts thereof not elsewhere specified or included: Parts: Other</t>
  </si>
  <si>
    <t>Of wood</t>
  </si>
  <si>
    <t>CHAPTER 94 - FURNITURE; BEDDING, MATTRESSES, MATTRESS SUPPORTS, CUSHIONS AND SIMILAR STUFFED FURNISHINGS; LUMINAIRES AND LIGHTING FITTINGS, NOT ELSEWHERE SPECIFIED OR INCLUDED; ILLUMINATED SIGNS, ILLUMINATED NAMEPLATES AND THE LIKE; PREFABRICATED BUILDINGS: Prefabricated buildings: Of wood</t>
  </si>
  <si>
    <t>CHAPTER 94 - FURNITURE; BEDDING, MATTRESSES, MATTRESS SUPPORTS, CUSHIONS AND SIMILAR STUFFED FURNISHINGS; LAMPS AND LIGHTING FITTINGS, NOT ELSEWHERE SPECIFIED OR INCLUDED; ILLUMINATED SIGNS, ILLUMINATED NAMEPLATES AND THE LIKE; PREFABRICATED BUILDINGS: Prefabricated buildings: Of wood</t>
  </si>
  <si>
    <t>Mobile homes</t>
  </si>
  <si>
    <t>CHAPTER 94 - FURNITURE; BEDDING, MATTRESSES, MATTRESS SUPPORTS, CUSHIONS AND SIMILAR STUFFED FURNISHINGS; LUMINAIRES AND LIGHTING FITTINGS, NOT ELSEWHERE SPECIFIED OR INCLUDED; ILLUMINATED SIGNS, ILLUMINATED NAMEPLATES AND THE LIKE; PREFABRICATED BUILDINGS: Prefabricated buildings: Other: Mobile homes</t>
  </si>
  <si>
    <t>CHAPTER 94 - FURNITURE; BEDDING, MATTRESSES, MATTRESS SUPPORTS, CUSHIONS AND SIMILAR STUFFED FURNISHINGS; LAMPS AND LIGHTING FITTINGS, NOT ELSEWHERE SPECIFIED OR INCLUDED; ILLUMINATED SIGNS, ILLUMINATED NAMEPLATES AND THE LIKE; PREFABRICATED BUILDINGS: Prefabricated buildings: Other: Mobile homes</t>
  </si>
  <si>
    <t>Greenhouses</t>
  </si>
  <si>
    <t>CHAPTER 94 - FURNITURE; BEDDING, MATTRESSES, MATTRESS SUPPORTS, CUSHIONS AND SIMILAR STUFFED FURNISHINGS; LUMINAIRES AND LIGHTING FITTINGS, NOT ELSEWHERE SPECIFIED OR INCLUDED; ILLUMINATED SIGNS, ILLUMINATED NAMEPLATES AND THE LIKE; PREFABRICATED BUILDINGS: Prefabricated buildings: Other: Other: Of iron or steel: Greenhouses</t>
  </si>
  <si>
    <t>CHAPTER 94 - FURNITURE; BEDDING, MATTRESSES, MATTRESS SUPPORTS, CUSHIONS AND SIMILAR STUFFED FURNISHINGS; LAMPS AND LIGHTING FITTINGS, NOT ELSEWHERE SPECIFIED OR INCLUDED; ILLUMINATED SIGNS, ILLUMINATED NAMEPLATES AND THE LIKE; PREFABRICATED BUILDINGS: Prefabricated buildings: Other: Other: Of iron or steel: Greenhouses</t>
  </si>
  <si>
    <t>CHAPTER 94 - FURNITURE; BEDDING, MATTRESSES, MATTRESS SUPPORTS, CUSHIONS AND SIMILAR STUFFED FURNISHINGS; LUMINAIRES AND LIGHTING FITTINGS, NOT ELSEWHERE SPECIFIED OR INCLUDED; ILLUMINATED SIGNS, ILLUMINATED NAMEPLATES AND THE LIKE; PREFABRICATED BUILDINGS: Prefabricated buildings: Other: Other: Of iron or steel: Other</t>
  </si>
  <si>
    <t>CHAPTER 94 - FURNITURE; BEDDING, MATTRESSES, MATTRESS SUPPORTS, CUSHIONS AND SIMILAR STUFFED FURNISHINGS; LAMPS AND LIGHTING FITTINGS, NOT ELSEWHERE SPECIFIED OR INCLUDED; ILLUMINATED SIGNS, ILLUMINATED NAMEPLATES AND THE LIKE; PREFABRICATED BUILDINGS: Prefabricated buildings: Other: Other: Of iron or steel: Other</t>
  </si>
  <si>
    <t>CHAPTER 94 - FURNITURE; BEDDING, MATTRESSES, MATTRESS SUPPORTS, CUSHIONS AND SIMILAR STUFFED FURNISHINGS; LUMINAIRES AND LIGHTING FITTINGS, NOT ELSEWHERE SPECIFIED OR INCLUDED; ILLUMINATED SIGNS, ILLUMINATED NAMEPLATES AND THE LIKE; PREFABRICATED BUILDINGS: Prefabricated buildings: Other: Other: Of other materials</t>
  </si>
  <si>
    <t>CHAPTER 94 - FURNITURE; BEDDING, MATTRESSES, MATTRESS SUPPORTS, CUSHIONS AND SIMILAR STUFFED FURNISHINGS; LAMPS AND LIGHTING FITTINGS, NOT ELSEWHERE SPECIFIED OR INCLUDED; ILLUMINATED SIGNS, ILLUMINATED NAMEPLATES AND THE LIKE; PREFABRICATED BUILDINGS: Prefabricated buildings: Other: Other: Of other materials</t>
  </si>
  <si>
    <t>Articles and accessories for billiards of all kinds</t>
  </si>
  <si>
    <t>CHAPTER 95 - TOYS, GAMES AND SPORTS REQUISITES; PARTS AND ACCESSORIES THEREOF: Video game consoles and machines, table or parlour games, including pintables, billiards, special tables for casino games and automatic bowling equipment, amusement machines operated by coins, banknotes, bank cards, tokens or by any other means of payment: Articles and accessories for billiards of all kinds</t>
  </si>
  <si>
    <t>CHAPTER 95 - TOYS, GAMES AND SPORTS REQUISITES; PARTS AND ACCESSORIES THEREOF: Video game consoles and machines, articles for funfair, table or parlour games, including pintables, billiards, special tables for casino games and automatic bowling alley equipment: Articles and accessories for billiards of all kinds</t>
  </si>
  <si>
    <t>Games with screen</t>
  </si>
  <si>
    <t>CHAPTER 95 - TOYS, GAMES AND SPORTS REQUISITES; PARTS AND ACCESSORIES THEREOF: Video game consoles and machines, table or parlour games, including pintables, billiards, special tables for casino games and automatic bowling equipment, amusement machines operated by coins, banknotes, bank cards, tokens or by any other means of payment: Other games, operated by coins, banknotes, bank cards, tokens or by any other means of payment, other than automatic bowling alley equipment: Games with screen</t>
  </si>
  <si>
    <t>CHAPTER 95 - TOYS, GAMES AND SPORTS REQUISITES; PARTS AND ACCESSORIES THEREOF: Video game consoles and machines, articles for funfair, table or parlour games, including pintables, billiards, special tables for casino games and automatic bowling alley equipment: Other games, operated by coins, banknotes, bank cards, tokens or by any other means of payment, other than automatic bowling alley equipment: Games with screen</t>
  </si>
  <si>
    <t>Other games</t>
  </si>
  <si>
    <t>CHAPTER 95 - TOYS, GAMES AND SPORTS REQUISITES; PARTS AND ACCESSORIES THEREOF: Video game consoles and machines, table or parlour games, including pintables, billiards, special tables for casino games and automatic bowling equipment, amusement machines operated by coins, banknotes, bank cards, tokens or by any other means of payment: Other games, operated by coins, banknotes, bank cards, tokens or by any other means of payment, other than automatic bowling alley equipment: Other games</t>
  </si>
  <si>
    <t>CHAPTER 95 - TOYS, GAMES AND SPORTS REQUISITES; PARTS AND ACCESSORIES THEREOF: Video game consoles and machines, articles for funfair, table or parlour games, including pintables, billiards, special tables for casino games and automatic bowling alley equipment: Other games, operated by coins, banknotes, bank cards, tokens or by any other means of payment, other than automatic bowling alley equipment: Other games</t>
  </si>
  <si>
    <t>CHAPTER 95 - TOYS, GAMES AND SPORTS REQUISITES; PARTS AND ACCESSORIES THEREOF: Video game consoles and machines, table or parlour games, including pintables, billiards, special tables for casino games and automatic bowling equipment, amusement machines operated by coins, banknotes, bank cards, tokens or by any other means of payment: Other games, operated by coins, banknotes, bank cards, tokens or by any other means of payment, other than automatic bowling alley equipment: Parts</t>
  </si>
  <si>
    <t>CHAPTER 95 - TOYS, GAMES AND SPORTS REQUISITES; PARTS AND ACCESSORIES THEREOF: Video game consoles and machines, articles for funfair, table or parlour games, including pintables, billiards, special tables for casino games and automatic bowling alley equipment: Other games, operated by coins, banknotes, bank cards, tokens or by any other means of payment, other than automatic bowling alley equipment: Parts</t>
  </si>
  <si>
    <t>Playing cards</t>
  </si>
  <si>
    <t>CHAPTER 95 - TOYS, GAMES AND SPORTS REQUISITES; PARTS AND ACCESSORIES THEREOF: Video game consoles and machines, table or parlour games, including pintables, billiards, special tables for casino games and automatic bowling equipment, amusement machines operated by coins, banknotes, bank cards, tokens or by any other means of payment: Playing cards</t>
  </si>
  <si>
    <t>CHAPTER 95 - TOYS, GAMES AND SPORTS REQUISITES; PARTS AND ACCESSORIES THEREOF: Video game consoles and machines, articles for funfair, table or parlour games, including pintables, billiards, special tables for casino games and automatic bowling alley equipment: Playing cards</t>
  </si>
  <si>
    <t>Video game consoles and machines, other than those of subheading 950430</t>
  </si>
  <si>
    <t>CHAPTER 95 - TOYS, GAMES AND SPORTS REQUISITES; PARTS AND ACCESSORIES THEREOF: Video game consoles and machines, table or parlour games, including pintables, billiards, special tables for casino games and automatic bowling equipment, amusement machines operated by coins, banknotes, bank cards, tokens or by any other means of payment: Video game consoles and machines, other than those of subheading 950430</t>
  </si>
  <si>
    <t>CHAPTER 95 - TOYS, GAMES AND SPORTS REQUISITES; PARTS AND ACCESSORIES THEREOF: Video game consoles and machines, articles for funfair, table or parlour games, including pintables, billiards, special tables for casino games and automatic bowling alley equipment: Video game consoles and machines, other than those of subheading 950430</t>
  </si>
  <si>
    <t>Electric car racing sets, having the character of competitive games</t>
  </si>
  <si>
    <t>CHAPTER 95 - TOYS, GAMES AND SPORTS REQUISITES; PARTS AND ACCESSORIES THEREOF: Video game consoles and machines, table or parlour games, including pintables, billiards, special tables for casino games and automatic bowling equipment, amusement machines operated by coins, banknotes, bank cards, tokens or by any other means of payment: Other: Electric car racing sets, having the character of competitive games</t>
  </si>
  <si>
    <t>CHAPTER 95 - TOYS, GAMES AND SPORTS REQUISITES; PARTS AND ACCESSORIES THEREOF: Video game consoles and machines, articles for funfair, table or parlour games, including pintables, billiards, special tables for casino games and automatic bowling alley equipment: Other: Electric car racing sets, having the character of competitive games</t>
  </si>
  <si>
    <t>CHAPTER 95 - TOYS, GAMES AND SPORTS REQUISITES; PARTS AND ACCESSORIES THEREOF: Video game consoles and machines, table or parlour games, including pintables, billiards, special tables for casino games and automatic bowling equipment, amusement machines operated by coins, banknotes, bank cards, tokens or by any other means of payment: Other: Other</t>
  </si>
  <si>
    <t>CHAPTER 95 - TOYS, GAMES AND SPORTS REQUISITES; PARTS AND ACCESSORIES THEREOF: Video game consoles and machines, articles for funfair, table or parlour games, including pintables, billiards, special tables for casino games and automatic bowling alley equipment: Other: Other</t>
  </si>
  <si>
    <t>Travelling circuses and travelling menageries</t>
  </si>
  <si>
    <t>CHAPTER 95 - TOYS, GAMES AND SPORTS REQUISITES; PARTS AND ACCESSORIES THEREOF: Travelling circuses and travelling menageries; amusement park rides and water park amusements; fairground amusements, including shooting galleries; travelling theatres: Travelling circuses and travelling menageries</t>
  </si>
  <si>
    <t>CHAPTER 95 - TOYS, GAMES AND SPORTS REQUISITES; PARTS AND ACCESSORIES THEREOF: Roundabouts, swings, shooting galleries and other fairground amusements; travelling circuses and travelling menageries; travelling theatres: Travelling circuses and travelling menageries</t>
  </si>
  <si>
    <t>With ‘leads’ of graphite</t>
  </si>
  <si>
    <t>CHAPTER 96 - MISCELLANEOUS MANUFACTURED ARTICLES: Pencils (other than pencils of heading 9608), crayons, pencil leads, pastels, drawing charcoals, writing or drawing chalks and tailors' chalks: Pencils and crayons, with leads encased in a sheath: With ‘leads’ of graphite</t>
  </si>
  <si>
    <t>CHAPTER 96 - MISCELLANEOUS MANUFACTURED ARTICLES: Pencils (other than pencils of heading 9608), crayons, pencil leads, pastels, drawing charcoals, writing or drawing chalks and tailors' chalks: Pencils and crayons, with leads encased in a rigid sheath: With ‘leads’ of graphite</t>
  </si>
  <si>
    <t>CHAPTER 96 - MISCELLANEOUS MANUFACTURED ARTICLES: Pencils (other than pencils of heading 9608), crayons, pencil leads, pastels, drawing charcoals, writing or drawing chalks and tailors' chalks: Pencils and crayons, with leads encased in a sheath: Other</t>
  </si>
  <si>
    <t>CHAPTER 96 - MISCELLANEOUS MANUFACTURED ARTICLES: Pencils (other than pencils of heading 9608), crayons, pencil leads, pastels, drawing charcoals, writing or drawing chalks and tailors' chalks: Pencils and crayons, with leads encased in a rigid sheath: Other</t>
  </si>
  <si>
    <t>Vacuum flasks and other vacuum vessels, complete; parts thereof other than glass inners</t>
  </si>
  <si>
    <t>Vacuum flasks and other vacuum vessels, complete with cases; parts thereof other than glass inners</t>
  </si>
  <si>
    <t>CHAPTER 96 - MISCELLANEOUS MANUFACTURED ARTICLES: Vacuum flasks and other vacuum vessels, complete; parts thereof other than glass inners</t>
  </si>
  <si>
    <t>CHAPTER 96 - MISCELLANEOUS MANUFACTURED ARTICLES: Vacuum flasks and other vacuum vessels, complete with cases; parts thereof other than glass inners</t>
  </si>
  <si>
    <t>Of wadding of textile materials</t>
  </si>
  <si>
    <t>CHAPTER 96 - MISCELLANEOUS MANUFACTURED ARTICLES: Sanitary towels (pads) and tampons, napkins (diapers), napkin liners  and similar articles, of any material: Of wadding of textile materials</t>
  </si>
  <si>
    <t>CHAPTER 96 - MISCELLANEOUS MANUFACTURED ARTICLES: Sanitary towels (pads) and tampons, napkins and napkin liners for babies, and similar articles, of any material: Of wadding of textile materials</t>
  </si>
  <si>
    <t>Sanitary towels (pads), tampons and similar articles</t>
  </si>
  <si>
    <t>CHAPTER 96 - MISCELLANEOUS MANUFACTURED ARTICLES: Sanitary towels (pads) and tampons, napkins (diapers), napkin liners  and similar articles, of any material: Of other textile materials: Sanitary towels (pads), tampons and similar articles</t>
  </si>
  <si>
    <t>CHAPTER 96 - MISCELLANEOUS MANUFACTURED ARTICLES: Sanitary towels (pads) and tampons, napkins and napkin liners for babies, and similar articles, of any material: Of other textile materials: Sanitary towels (pads), tampons and similar articles</t>
  </si>
  <si>
    <t>Napkins and napkin liners for babies, and similar articles</t>
  </si>
  <si>
    <t>CHAPTER 96 - MISCELLANEOUS MANUFACTURED ARTICLES: Sanitary towels (pads) and tampons, napkins (diapers), napkin liners  and similar articles, of any material: Of other textile materials: Napkins and napkin liners for babies, and similar articles</t>
  </si>
  <si>
    <t>CHAPTER 96 - MISCELLANEOUS MANUFACTURED ARTICLES: Sanitary towels (pads) and tampons, napkins and napkin liners for babies, and similar articles, of any material: Of other textile materials: Napkins and napkin liners for babies, and similar articles</t>
  </si>
  <si>
    <t>Sanitary towels (pads)</t>
  </si>
  <si>
    <t>CHAPTER 96 - MISCELLANEOUS MANUFACTURED ARTICLES: Sanitary towels (pads) and tampons, napkins (diapers), napkin liners  and similar articles, of any material: Of other materials: Sanitary towels (pads), tampons and similar articles: Sanitary towels (pads)</t>
  </si>
  <si>
    <t>CHAPTER 96 - MISCELLANEOUS MANUFACTURED ARTICLES: Sanitary towels (pads) and tampons, napkins and napkin liners for babies, and similar articles, of any material: Of other materials: Sanitary towels (pads), tampons and similar articles: Sanitary towels (pads)</t>
  </si>
  <si>
    <t>Tampons</t>
  </si>
  <si>
    <t>CHAPTER 96 - MISCELLANEOUS MANUFACTURED ARTICLES: Sanitary towels (pads) and tampons, napkins (diapers), napkin liners  and similar articles, of any material: Of other materials: Sanitary towels (pads), tampons and similar articles: Tampons</t>
  </si>
  <si>
    <t>CHAPTER 96 - MISCELLANEOUS MANUFACTURED ARTICLES: Sanitary towels (pads) and tampons, napkins and napkin liners for babies, and similar articles, of any material: Of other materials: Sanitary towels (pads), tampons and similar articles: Tampons</t>
  </si>
  <si>
    <t>CHAPTER 96 - MISCELLANEOUS MANUFACTURED ARTICLES: Sanitary towels (pads) and tampons, napkins (diapers), napkin liners  and similar articles, of any material: Of other materials: Sanitary towels (pads), tampons and similar articles: Other</t>
  </si>
  <si>
    <t>CHAPTER 96 - MISCELLANEOUS MANUFACTURED ARTICLES: Sanitary towels (pads) and tampons, napkins and napkin liners for babies, and similar articles, of any material: Of other materials: Sanitary towels (pads), tampons and similar articles: Other</t>
  </si>
  <si>
    <t>Napkins and napkin liners for babies</t>
  </si>
  <si>
    <t>CHAPTER 96 - MISCELLANEOUS MANUFACTURED ARTICLES: Sanitary towels (pads) and tampons, napkins (diapers), napkin liners  and similar articles, of any material: Of other materials: Napkins and napkin liners for babies, and similar articles: Napkins and napkin liners for babies</t>
  </si>
  <si>
    <t>CHAPTER 96 - MISCELLANEOUS MANUFACTURED ARTICLES: Sanitary towels (pads) and tampons, napkins and napkin liners for babies, and similar articles, of any material: Of other materials: Napkins and napkin liners for babies, and similar articles: Napkins and napkin liners for babies</t>
  </si>
  <si>
    <t>Other (for example, incontinence care articles)</t>
  </si>
  <si>
    <t>CHAPTER 96 - MISCELLANEOUS MANUFACTURED ARTICLES: Sanitary towels (pads) and tampons, napkins (diapers), napkin liners  and similar articles, of any material: Of other materials: Napkins and napkin liners for babies, and similar articles: Other (for example, incontinence care articles)</t>
  </si>
  <si>
    <t>CHAPTER 96 - MISCELLANEOUS MANUFACTURED ARTICLES: Sanitary towels (pads) and tampons, napkins and napkin liners for babies, and similar articles, of any material: Of other materials: Napkins and napkin liners for babies, and similar articles: Other (for example, incontinence care articles)</t>
  </si>
  <si>
    <t>Trousseaux and household effects belonging to a person transferring his or her normal place of residence on the occasion of his or her marriage</t>
  </si>
  <si>
    <t>The following goods, other than those mentioned above:–- Trousseaux and household effects belonging to a person transferring his or her normal place of residence on the occasion of his or her marriage; personal property acquired by inheritance;–- School outfits, educational materials and related household effects;–- Coffins containing bodies, funerary urns containing the ashes of deceased persons and ornamental funerary articles;–- Goods for charitable or philanthropic organisations and goods for the benefit of disaster victims.</t>
  </si>
  <si>
    <t>SPECIAL COMBINED NOMENCLATURE CODES: Certain goods, as provided for in Council Regulation (EC) No 1186/2009 (Import and Export): The following goods, other than those mentioned above:–- Trousseaux and household effects belonging to a person transferring his or her normal place of residence on the occasion of his or her marriage; personal property acquired by inheritance;–- School outfits, educational materials and related household effects;–- Coffins containing bodies, funerary urns containing the ashes of deceased persons and ornamental funerary articles;–- Goods for charitable or philanthropic organisations and goods for the benefit of disaster victims.: Trousseaux and household effects belonging to a person transferring his or her normal place of residence on the occasion of his or her marriage</t>
  </si>
  <si>
    <t>SPECIAL COMBINED NOMENCLATURE CODES: Certain goods, as provided for in Council Regulation (EC) No 1186/2009 (Import and Export): The following goods, other than those mentioned above:–- Trousseaux and household effects belonging to a person transferring his or her normal place of residence on the occasion of his or her marriage; personal property acquired by inheritance;–- School outfits, educational materials and related household effects;–- Coffins containing bodies, funerary urns containing the ashes of deceased persons and ornamental funerary articles;–- Goods for charitable or philanthropic organisations and goods for the benefit of disaster victims.</t>
  </si>
  <si>
    <t>goods from CN chapters 1 to 24</t>
  </si>
  <si>
    <t>SPECIAL COMBINED NOMENCLATURE CODES: Goods delivered to vessels and aircraft: goods from CN chapters 1 to 24</t>
  </si>
  <si>
    <t>SPECIAL COMBINED NOMENCLATURE CODES: Certain goods, as provided for in Council Regulation (EC) No 1186/2009 (Import and Export): Goods delivered to vessels and aircraft: goods from CN chapters 1 to 24</t>
  </si>
  <si>
    <t>goods from CN chapter 27</t>
  </si>
  <si>
    <t>SPECIAL COMBINED NOMENCLATURE CODES: Goods delivered to vessels and aircraft: goods from CN chapter 27</t>
  </si>
  <si>
    <t>SPECIAL COMBINED NOMENCLATURE CODES: Certain goods, as provided for in Council Regulation (EC) No 1186/2009 (Import and Export): Goods delivered to vessels and aircraft: goods from CN chapter 27</t>
  </si>
  <si>
    <t>goods classified elsewhere</t>
  </si>
  <si>
    <t>SPECIAL COMBINED NOMENCLATURE CODES: Goods delivered to vessels and aircraft: goods classified elsewhere</t>
  </si>
  <si>
    <t>SPECIAL COMBINED NOMENCLATURE CODES: Certain goods, as provided for in Council Regulation (EC) No 1186/2009 (Import and Export): Goods delivered to vessels and aircraft: goods classified elsewhere</t>
  </si>
  <si>
    <t>SPECIAL COMBINED NOMENCLATURE CODES: Goods delivered for the crew of the offshore installation or for the operation of the engines, machines and other equipment of the offshore installation: goods from CN chapters 1 to 24</t>
  </si>
  <si>
    <t>SPECIAL COMBINED NOMENCLATURE CODES: Certain goods, as provided for in Council Regulation (EC) No 1186/2009 (Import and Export): Goods delivered for the crew of the offshore installation or for the operation of the engines, machines and other equipment of the offshore installation: goods from CN chapters 1 to 24</t>
  </si>
  <si>
    <t>SPECIAL COMBINED NOMENCLATURE CODES: Goods delivered for the crew of the offshore installation or for the operation of the engines, machines and other equipment of the offshore installation: goods from CN chapter 27</t>
  </si>
  <si>
    <t>SPECIAL COMBINED NOMENCLATURE CODES: Certain goods, as provided for in Council Regulation (EC) No 1186/2009 (Import and Export): Goods delivered for the crew of the offshore installation or for the operation of the engines, machines and other equipment of the offshore installation: goods from CN chapter 27</t>
  </si>
  <si>
    <t>SPECIAL COMBINED NOMENCLATURE CODES: Goods delivered for the crew of the offshore installation or for the operation of the engines, machines and other equipment of the offshore installation: goods classified elsewhere</t>
  </si>
  <si>
    <t>SPECIAL COMBINED NOMENCLATURE CODES: Certain goods, as provided for in Council Regulation (EC) No 1186/2009 (Import and Export): Goods delivered for the crew of the offshore installation or for the operation of the engines, machines and other equipment of the offshore installation: goods classified elsewhere</t>
  </si>
  <si>
    <t>Code used only in trading of goods between Member States for individual transactions whose value is less than € 200 and for reporting residual products in some cases</t>
  </si>
  <si>
    <t>SPECIAL COMBINED NOMENCLATURE CODES: Code used only in trading of goods between Member States for individual transactions whose value is less than € 200 and for reporting residual products in some cases</t>
  </si>
  <si>
    <t>SPECIAL COMBINED NOMENCLATURE CODES: Certain goods, as provided for in Council Regulation (EC) No 1186/2009 (Import and Export): Code used only in trading of goods between Member States for individual transactions whose value is less than € 200 and for reporting residual products in some cases</t>
  </si>
  <si>
    <t>des espèces Oncorhynchus apache et Oncorhynchus chrysogaster</t>
  </si>
  <si>
    <t>CHAPITRE 3 - POISSONS ET CRUSTACÉS, MOLLUSQUES ET AUTRES INVERTÉBRÉS AQUATIQUES: Poissons frais ou réfrigérés, à l'exception des filets de poissons et autre chair de poissons du no 0304: Salmonidés, à l’exclusion des abats de poissons comestibles des nos 030291 à 030299: Truites (Salmo trutta, Oncorhynchus mykiss, Oncorhynchus clarki, Oncorhynchus aguabonita, Oncorhynchus gilae, Oncorhynchus apache et Oncorhynchus chrysogaster): des espèces Oncorhynchus apache et Oncorhynchus chrysogaster</t>
  </si>
  <si>
    <t>CHAPITRE 3 - POISSONS ET CRUSTACÉS, MOLLUSQUES ET AUTRES INVERTÉBRÉS AQUATIQUES: Poissons frais ou réfrigérés, à l'exception des filets de poissons et autre chair de poissons du no 0304: Salmonidés, à l’exclusion des abats de poissons comestibles des n°s030291 à 030299: Truites (Salmo trutta, Oncorhynchus mykiss, Oncorhynchus clarki, Oncorhynchus aguabonita, Oncorhynchus gilae, Oncorhynchus apache et Oncorhynchus chrysogaster): des espèces Oncorhynchus apache et Oncorhynchus chrysogaster</t>
  </si>
  <si>
    <t>de l'espèce Oncorhynchus mykiss, avec tête et branchies, vidées, pesant plus de 1,2 kg pièce, ou étêtées et sans branchies, vidées, pesant plus de 1 kg pièce</t>
  </si>
  <si>
    <t>CHAPITRE 3 - POISSONS ET CRUSTACÉS, MOLLUSQUES ET AUTRES INVERTÉBRÉS AQUATIQUES: Poissons frais ou réfrigérés, à l'exception des filets de poissons et autre chair de poissons du no 0304: Salmonidés, à l’exclusion des abats de poissons comestibles des nos 030291 à 030299: Truites (Salmo trutta, Oncorhynchus mykiss, Oncorhynchus clarki, Oncorhynchus aguabonita, Oncorhynchus gilae, Oncorhynchus apache et Oncorhynchus chrysogaster): de l'espèce Oncorhynchus mykiss, avec tête et branchies, vidées, pesant plus de 1,2 kg pièce, ou étêtées et sans branchies, vidées, pesant plus de 1 kg pièce</t>
  </si>
  <si>
    <t>CHAPITRE 3 - POISSONS ET CRUSTACÉS, MOLLUSQUES ET AUTRES INVERTÉBRÉS AQUATIQUES: Poissons frais ou réfrigérés, à l'exception des filets de poissons et autre chair de poissons du no 0304: Salmonidés, à l’exclusion des abats de poissons comestibles des n°s030291 à 030299: Truites (Salmo trutta, Oncorhynchus mykiss, Oncorhynchus clarki, Oncorhynchus aguabonita, Oncorhynchus gilae, Oncorhynchus apache et Oncorhynchus chrysogaster): de l'espèce Oncorhynchus mykiss, avec tête et branchies, vidées, pesant plus de 1,2 kg pièce, ou étêtées et sans branchies, vidées, pesant plus de 1 kg pièce</t>
  </si>
  <si>
    <t>autres</t>
  </si>
  <si>
    <t>CHAPITRE 3 - POISSONS ET CRUSTACÉS, MOLLUSQUES ET AUTRES INVERTÉBRÉS AQUATIQUES: Poissons frais ou réfrigérés, à l'exception des filets de poissons et autre chair de poissons du no 0304: Salmonidés, à l’exclusion des abats de poissons comestibles des nos 030291 à 030299: Truites (Salmo trutta, Oncorhynchus mykiss, Oncorhynchus clarki, Oncorhynchus aguabonita, Oncorhynchus gilae, Oncorhynchus apache et Oncorhynchus chrysogaster): autres</t>
  </si>
  <si>
    <t>CHAPITRE 3 - POISSONS ET CRUSTACÉS, MOLLUSQUES ET AUTRES INVERTÉBRÉS AQUATIQUES: Poissons frais ou réfrigérés, à l'exception des filets de poissons et autre chair de poissons du no 0304: Salmonidés, à l’exclusion des abats de poissons comestibles des n°s030291 à 030299: Truites (Salmo trutta, Oncorhynchus mykiss, Oncorhynchus clarki, Oncorhynchus aguabonita, Oncorhynchus gilae, Oncorhynchus apache et Oncorhynchus chrysogaster): autres</t>
  </si>
  <si>
    <t>Saumons du Pacifique (Oncorhynchus nerka, Oncorhynchus gorbuscha, Oncorhynchus keta, Oncorhynchus tschawytscha, Oncorhynchus kisutch, Oncorhynchus masou et Oncorhynchus rhodurus)</t>
  </si>
  <si>
    <t>CHAPITRE 3 - POISSONS ET CRUSTACÉS, MOLLUSQUES ET AUTRES INVERTÉBRÉS AQUATIQUES: Poissons frais ou réfrigérés, à l'exception des filets de poissons et autre chair de poissons du no 0304: Salmonidés, à l’exclusion des abats de poissons comestibles des nos 030291 à 030299: Saumons du Pacifique (Oncorhynchus nerka, Oncorhynchus gorbuscha, Oncorhynchus keta, Oncorhynchus tschawytscha, Oncorhynchus kisutch, Oncorhynchus masou et Oncorhynchus rhodurus)</t>
  </si>
  <si>
    <t>CHAPITRE 3 - POISSONS ET CRUSTACÉS, MOLLUSQUES ET AUTRES INVERTÉBRÉS AQUATIQUES: Poissons frais ou réfrigérés, à l'exception des filets de poissons et autre chair de poissons du no 0304: Salmonidés, à l’exclusion des abats de poissons comestibles des n°s030291 à 030299: Saumons du Pacifique (Oncorhynchus nerka, Oncorhynchus gorbuscha, Oncorhynchus keta, Oncorhynchus tschawytscha, Oncorhynchus kisutch, Oncorhynchus masou et Oncorhynchus rhodurus)</t>
  </si>
  <si>
    <t>Saumons de l'Atlantique (Salmo salar) et saumons du Danube (Hucho hucho)</t>
  </si>
  <si>
    <t>CHAPITRE 3 - POISSONS ET CRUSTACÉS, MOLLUSQUES ET AUTRES INVERTÉBRÉS AQUATIQUES: Poissons frais ou réfrigérés, à l'exception des filets de poissons et autre chair de poissons du no 0304: Salmonidés, à l’exclusion des abats de poissons comestibles des nos 030291 à 030299: Saumons de l'Atlantique (Salmo salar) et saumons du Danube (Hucho hucho)</t>
  </si>
  <si>
    <t>CHAPITRE 3 - POISSONS ET CRUSTACÉS, MOLLUSQUES ET AUTRES INVERTÉBRÉS AQUATIQUES: Poissons frais ou réfrigérés, à l'exception des filets de poissons et autre chair de poissons du no 0304: Salmonidés, à l’exclusion des abats de poissons comestibles des n°s030291 à 030299: Saumons de l'Atlantique (Salmo salar) et saumons du Danube (Hucho hucho)</t>
  </si>
  <si>
    <t>CHAPITRE 3 - POISSONS ET CRUSTACÉS, MOLLUSQUES ET AUTRES INVERTÉBRÉS AQUATIQUES: Poissons frais ou réfrigérés, à l'exception des filets de poissons et autre chair de poissons du no 0304: Salmonidés, à l’exclusion des abats de poissons comestibles des nos 030291 à 030299: autres</t>
  </si>
  <si>
    <t>CHAPITRE 3 - POISSONS ET CRUSTACÉS, MOLLUSQUES ET AUTRES INVERTÉBRÉS AQUATIQUES: Poissons frais ou réfrigérés, à l'exception des filets de poissons et autre chair de poissons du no 0304: Salmonidés, à l’exclusion des abats de poissons comestibles des n°s030291 à 030299: autres</t>
  </si>
  <si>
    <t>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</si>
  <si>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Thons blancs ou germons (Thunnus alalunga):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</si>
  <si>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Thons blancs ou germons (Thunnus alalunga):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</si>
  <si>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Thons blancs ou germons (Thunnus alalunga): autres</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</si>
  <si>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Thons blancs ou germons (Thunnus alalunga): autres</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</si>
  <si>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Thons à nageoires jaunes (Thunnus albacares):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</si>
  <si>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Thons à nageoires jaunes (Thunnus albacares):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</si>
  <si>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Thons à nageoires jaunes (Thunnus albacares): autres</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</si>
  <si>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Thons à nageoires jaunes (Thunnus albacares): autres</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</si>
  <si>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Listaos (bonites à ventre rayé) (Katsuwonus pelamis):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</si>
  <si>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Listaos ou bonites à ventre rayé: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</si>
  <si>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Listaos (bonites à ventre rayé) (Katsuwonus pelamis): autres</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</si>
  <si>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Listaos ou bonites à ventre rayé: autres</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</si>
  <si>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Thons obèses (Thunnus obesus):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</si>
  <si>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Thons obèses (Thunnus obesus):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</si>
  <si>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Thons obèses (Thunnus obesus): autres</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</si>
  <si>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Thons obèses (Thunnus obesus): autres</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</si>
  <si>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Thons rouges de l'Atlantique et du Pacifique (Thunnus thynnus, Thunnus orientalis): Thons rouges de l'Atlantique (Thunnus thynnus):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</si>
  <si>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Thons rouges de l'Atlantique et du Pacifique (Thunnus thynnus, Thunnus orientalis): Thons rouges de l'Atlantique (Thunnus thynnus):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</si>
  <si>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Thons rouges de l'Atlantique et du Pacifique (Thunnus thynnus, Thunnus orientalis): Thons rouges de l'Atlantique (Thunnus thynnus): autres</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</si>
  <si>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Thons rouges de l'Atlantique et du Pacifique (Thunnus thynnus, Thunnus orientalis): Thons rouges de l'Atlantique (Thunnus thynnus): autres</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</si>
  <si>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Thons rouges de l'Atlantique et du Pacifique (Thunnus thynnus, Thunnus orientalis): Thons rouges du Pacifique (Thunnus orientalis):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</si>
  <si>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Thons rouges de l'Atlantique et du Pacifique (Thunnus thynnus, Thunnus orientalis): Thons rouges du Pacifique (Thunnus orientalis):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</si>
  <si>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Thons rouges de l'Atlantique et du Pacifique (Thunnus thynnus, Thunnus orientalis): Thons rouges du Pacifique (Thunnus orientalis): autres</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</si>
  <si>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Thons rouges de l'Atlantique et du Pacifique (Thunnus thynnus, Thunnus orientalis): Thons rouges du Pacifique (Thunnus orientalis): autres</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</si>
  <si>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Thons rouges du Sud (Thunnus maccoyii):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</si>
  <si>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Thons rouges du Sud (Thunnus maccoyii):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</si>
  <si>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Thons rouges du Sud (Thunnus maccoyii): autres</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</si>
  <si>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Thons rouges du Sud (Thunnus maccoyii): autres</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</si>
  <si>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autres: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</si>
  <si>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autres: destinés à la fabrication industrielle des produits relevant du no 1604</t>
  </si>
  <si>
    <t>CHAPITRE 3 - POISSONS ET CRUSTACÉS, MOLLUSQUES ET AUTRES INVERTÉBRÉS AQUATIQUES: Poissons frais ou réfrigérés, à l'exception des filets de poissons et autre chair de poissons du no 0304: Thons (du genre Thunnus), listaos (bonites à ventre rayé) (Katsuwonus pelamis), à l'exclusion des abats de poissons comestibles des nos 030291 à 030299: autres: autres</t>
  </si>
  <si>
    <t>CHAPITRE 3 - POISSONS ET CRUSTACÉS, MOLLUSQUES ET AUTRES INVERTÉBRÉS AQUATIQUES: Poissons frais ou réfrigérés, à l'exception des filets de poissons et autre chair de poissons du no 0304: Thons (du genre Thunnus), listaos ou bonites à ventre rayé (Euthynnus (Katsuwonus) pelamis), à l’exclusion des abats de poissons comestibles des nos030291 à 030299: autres: autres</t>
  </si>
  <si>
    <t>CHAPITRE 3 - POISSONS ET CRUSTACÉS, MOLLUSQUES ET AUTRES INVERTÉBRÉS AQUATIQUES: Poissons frais ou réfrigérés, à l'exception des filets de poissons et autre chair de poissons du no 0304: Autres poissons, à l’exclusion des abats de poissons comestibles des nos 030291 à 030299: autres: autres: Poissons de l’espèce Euthynnus, autres que les thonines orientales (Euthynnus affinis) faisant l’objet du n° 030249: destinés à la fabrication industrielle des produits relevant du no 1604</t>
  </si>
  <si>
    <t>CHAPITRE 3 - POISSONS ET CRUSTACÉS, MOLLUSQUES ET AUTRES INVERTÉBRÉS AQUATIQUES: Poissons frais ou réfrigérés, à l'exception des filets de poissons et autre chair de poissons du no 0304: Autres poissons, à l’exclusion des abats de poissons comestibles des nos030291 à 030299: autres: autres: Poissons de l’espèce Euthynnus, autres que les listaos ou bonites à ventre rayé [Euthynnus (Katsuwonus) pelamis] mentionnés au n°  030233 et autres que les thonines orientales (Euthynnus affinis) mentionnées au n° 030249: destinés à la fabrication industrielle des produits relevant du no 1604</t>
  </si>
  <si>
    <t>CHAPITRE 3 - POISSONS ET CRUSTACÉS, MOLLUSQUES ET AUTRES INVERTÉBRÉS AQUATIQUES: Poissons frais ou réfrigérés, à l'exception des filets de poissons et autre chair de poissons du no 0304: Autres poissons, à l’exclusion des abats de poissons comestibles des nos 030291 à 030299: autres: autres: Poissons de l’espèce Euthynnus, autres que les thonines orientales (Euthynnus affinis) faisant l’objet du n° 030249: autres</t>
  </si>
  <si>
    <t>CHAPITRE 3 - POISSONS ET CRUSTACÉS, MOLLUSQUES ET AUTRES INVERTÉBRÉS AQUATIQUES: Poissons frais ou réfrigérés, à l'exception des filets de poissons et autre chair de poissons du no 0304: Autres poissons, à l’exclusion des abats de poissons comestibles des nos030291 à 030299: autres: autres: Poissons de l’espèce Euthynnus, autres que les listaos ou bonites à ventre rayé [Euthynnus (Katsuwonus) pelamis] mentionnés au n°  030233 et autres que les thonines orientales (Euthynnus affinis) mentionnées au n° 030249: autres</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</si>
  <si>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Thons blancs ou germons (Thunnus alalunga):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</si>
  <si>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Thons blancs ou germons (Thunnus alalunga):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</si>
  <si>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Thons blancs ou germons (Thunnus alalunga): autres</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</si>
  <si>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Thons blancs ou germons (Thunnus alalunga): autres</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</si>
  <si>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Thons à nageoires jaunes (Thunnus albacares):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</si>
  <si>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Thons à nageoires jaunes (Thunnus albacares):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</si>
  <si>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Thons à nageoires jaunes (Thunnus albacares): autres</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</si>
  <si>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Thons à nageoires jaunes (Thunnus albacares): autres</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</si>
  <si>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Listaos (bonites à ventre rayé) (Katsuwonus pelamis):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</si>
  <si>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Listaos ou bonites à ventre rayé: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</si>
  <si>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Listaos (bonites à ventre rayé) (Katsuwonus pelamis): autres</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</si>
  <si>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Listaos ou bonites à ventre rayé: autres</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</si>
  <si>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Thons obèses (Thunnus obesus):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</si>
  <si>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Thons obèses (Thunnus obesus):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</si>
  <si>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Thons obèses (Thunnus obesus): autres</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</si>
  <si>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Thons obèses (Thunnus obesus): autres</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</si>
  <si>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Thons rouges de l'Atlantique et du Pacifique (Thunnus thynnus, Thunnus orientalis): Thons rouges de l'Atlantique (Thunnus thynnus):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</si>
  <si>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Thons rouges de l'Atlantique et du Pacifique (Thunnus thynnus, Thunnus orientalis): Thons rouges de l'Atlantique (Thunnus thynnus):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</si>
  <si>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Thons rouges de l'Atlantique et du Pacifique (Thunnus thynnus, Thunnus orientalis): Thons rouges de l'Atlantique (Thunnus thynnus): autres</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</si>
  <si>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Thons rouges de l'Atlantique et du Pacifique (Thunnus thynnus, Thunnus orientalis): Thons rouges de l'Atlantique (Thunnus thynnus): autres</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</si>
  <si>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Thons rouges de l'Atlantique et du Pacifique (Thunnus thynnus, Thunnus orientalis): Thons rouges du Pacifique (Thunnus orientalis):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</si>
  <si>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Thons rouges de l'Atlantique et du Pacifique (Thunnus thynnus, Thunnus orientalis): Thons rouges du Pacifique (Thunnus orientalis):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</si>
  <si>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Thons rouges de l'Atlantique et du Pacifique (Thunnus thynnus, Thunnus orientalis): Thons rouges du Pacifique (Thunnus orientalis): autres</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</si>
  <si>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Thons rouges de l'Atlantique et du Pacifique (Thunnus thynnus, Thunnus orientalis): Thons rouges du Pacifique (Thunnus orientalis): autres</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</si>
  <si>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Thons rouges du Sud (Thunnus maccoyii):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</si>
  <si>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Thons rouges du Sud (Thunnus maccoyii):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</si>
  <si>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Thons rouges du Sud (Thunnus maccoyii): autres</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</si>
  <si>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Thons rouges du Sud (Thunnus maccoyii): autres</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</si>
  <si>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autres: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</si>
  <si>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autres: destinés à la fabrication industrielle des produits relevant du no 1604</t>
  </si>
  <si>
    <t>CHAPITRE 3 - POISSONS ET CRUSTACÉS, MOLLUSQUES ET AUTRES INVERTÉBRÉS AQUATIQUES: Poissons congelés, à l'exception des filets de poissons et autre chair de poissons du no 0304: Thons (du genre Thunnus), listaos (bonites à ventre rayé) (Katsuwonus pelamis), à l'exclusion des abats de poissons comestibles des nos 030391 à 030399: autres: autres</t>
  </si>
  <si>
    <t>CHAPITRE 3 - POISSONS ET CRUSTACÉS, MOLLUSQUES ET AUTRES INVERTÉBRÉS AQUATIQUES: Poissons congelés, à l'exception des filets de poissons et autre chair de poissons du no 0304: Thons (du genre Thunnus), listaos ou bonites à ventre rayé (Euthynnus (Katsuwonus) pelamis), à l’exclusion des abats de poissons comestibles des nos030391 à 030399: autres: autres</t>
  </si>
  <si>
    <t>CHAPITRE 3 - POISSONS ET CRUSTACÉS, MOLLUSQUES ET AUTRES INVERTÉBRÉS AQUATIQUES: Poissons congelés, à l'exception des filets de poissons et autre chair de poissons du no 0304: Autres poissons, à l’exclusion des abats de poissons comestibles des nos 030391 à 030399: autres: autres: Poissons de l’espèce Euthynnus, autres que les thonines orientales (Euthynnus affinis) faisant l’objet du n° 030359: destinés à la fabrication industrielle des produits relevant du no 1604</t>
  </si>
  <si>
    <t>CHAPITRE 3 - POISSONS ET CRUSTACÉS, MOLLUSQUES ET AUTRES INVERTÉBRÉS AQUATIQUES: Poissons congelés, à l'exception des filets de poissons et autre chair de poissons du no 0304: Autres poissons, à l’exclusion des abats de poissons comestibles des nos030391 à 030399: autres: autres: Poissons de l’espèce Euthynnus, autres que les listaos ou bonites à ventre rayé (Euthynnus (Katsuwonus) pelamis) mentionnés au n°  030343 et autres que les thonines orientales (Euthynnus affinis) mentionnées au n° 030359: destinés à la fabrication industrielle des produits relevant du no 1604</t>
  </si>
  <si>
    <t>CHAPITRE 3 - POISSONS ET CRUSTACÉS, MOLLUSQUES ET AUTRES INVERTÉBRÉS AQUATIQUES: Poissons congelés, à l'exception des filets de poissons et autre chair de poissons du no 0304: Autres poissons, à l’exclusion des abats de poissons comestibles des nos 030391 à 030399: autres: autres: Poissons de l’espèce Euthynnus, autres que les thonines orientales (Euthynnus affinis) faisant l’objet du n° 030359: autres</t>
  </si>
  <si>
    <t>CHAPITRE 3 - POISSONS ET CRUSTACÉS, MOLLUSQUES ET AUTRES INVERTÉBRÉS AQUATIQUES: Poissons congelés, à l'exception des filets de poissons et autre chair de poissons du no 0304: Autres poissons, à l’exclusion des abats de poissons comestibles des nos030391 à 030399: autres: autres: Poissons de l’espèce Euthynnus, autres que les listaos ou bonites à ventre rayé (Euthynnus (Katsuwonus) pelamis) mentionnés au n°  030343 et autres que les thonines orientales (Euthynnus affinis) mentionnées au n° 030359: autres</t>
  </si>
  <si>
    <t>Lieus d’Alaska (Theragra chalcogramma)</t>
  </si>
  <si>
    <t>Lieus d'Alaska (Theragra chalcogramma)</t>
  </si>
  <si>
    <t>CHAPITRE 3 - POISSONS ET CRUSTACÉS, MOLLUSQUES ET AUTRES INVERTÉBRÉS AQUATIQUES: Filets de poissons et autre chair de poissons (même hachée), frais, réfrigérés ou congelés: Filets de poissons des familles Bregmacerotidae, Euclichthyidae, Gadidae, Macrouridae, Melanonidae, Merlucciidae, Moridae et Muraenolepididae,  congelés: Lieus d’Alaska (Theragra chalcogramma)</t>
  </si>
  <si>
    <t>CHAPITRE 3 - POISSONS ET CRUSTACÉS, MOLLUSQUES ET AUTRES INVERTÉBRÉS AQUATIQUES: Filets de poissons et autre chair de poissons (même hachée), frais, réfrigérés ou congelés: Filets de poissons des familles Bregmacerotidae, Euclichthyidae, Gadidae, Macrouridae, Melanonidae, Merlucciidae, Moridae et Muraenolepididae,  congelés: Lieus d'Alaska (Theragra chalcogramma)</t>
  </si>
  <si>
    <t>Thons (du genre Thunnus), listaos (bonites à ventre rayé) (Katsuwonus pelamis)</t>
  </si>
  <si>
    <t>Thons (du genre Thunnus), listaos ou bonites à ventre rayé [Euthynnus (Katsuwonus) pelamis]</t>
  </si>
  <si>
    <t>CHAPITRE 3 - POISSONS ET CRUSTACÉS, MOLLUSQUES ET AUTRES INVERTÉBRÉS AQUATIQUES: Filets de poissons et autre chair de poissons (même hachée), frais, réfrigérés ou congelés: Filets d'autres poissons, congelés: Thons (du genre Thunnus), listaos (bonites à ventre rayé) (Katsuwonus pelamis)</t>
  </si>
  <si>
    <t>CHAPITRE 3 - POISSONS ET CRUSTACÉS, MOLLUSQUES ET AUTRES INVERTÉBRÉS AQUATIQUES: Filets de poissons et autre chair de poissons (même hachée), frais, réfrigérés ou congelés: Filets d'autres poissons, congelés: Thons (du genre Thunnus), listaos ou bonites à ventre rayé [Euthynnus (Katsuwonus) pelamis]</t>
  </si>
  <si>
    <t>Poissons du genre Euthynnus</t>
  </si>
  <si>
    <t>Poissons du genre Euthynnus, autres que les listaos ou bonites à ventre rayé [Euthynnus (Katsuwonus) pelamis] visés au no03048700</t>
  </si>
  <si>
    <t>CHAPITRE 3 - POISSONS ET CRUSTACÉS, MOLLUSQUES ET AUTRES INVERTÉBRÉS AQUATIQUES: Filets de poissons et autre chair de poissons (même hachée), frais, réfrigérés ou congelés: Filets d'autres poissons, congelés: autres: autres: Poissons du genre Euthynnus</t>
  </si>
  <si>
    <t>CHAPITRE 3 - POISSONS ET CRUSTACÉS, MOLLUSQUES ET AUTRES INVERTÉBRÉS AQUATIQUES: Filets de poissons et autre chair de poissons (même hachée), frais, réfrigérés ou congelés: Filets d'autres poissons, congelés: autres: autres: Poissons du genre Euthynnus, autres que les listaos ou bonites à ventre rayé [Euthynnus (Katsuwonus) pelamis] visés au no03048700</t>
  </si>
  <si>
    <t>Surimi</t>
  </si>
  <si>
    <t>CHAPITRE 3 - POISSONS ET CRUSTACÉS, MOLLUSQUES ET AUTRES INVERTÉBRÉS AQUATIQUES: Filets de poissons et autre chair de poissons (même hachée), frais, réfrigérés ou congelés: autres, congelés: Lieus d’Alaska (Theragra chalcogramma): Surimi</t>
  </si>
  <si>
    <t>CHAPITRE 3 - POISSONS ET CRUSTACÉS, MOLLUSQUES ET AUTRES INVERTÉBRÉS AQUATIQUES: Filets de poissons et autre chair de poissons (même hachée), frais, réfrigérés ou congelés: autres, congelés: Lieus d'Alaska (Theragra chalcogramma): Surimi</t>
  </si>
  <si>
    <t>CHAPITRE 3 - POISSONS ET CRUSTACÉS, MOLLUSQUES ET AUTRES INVERTÉBRÉS AQUATIQUES: Filets de poissons et autre chair de poissons (même hachée), frais, réfrigérés ou congelés: autres, congelés: Lieus d’Alaska (Theragra chalcogramma): autres</t>
  </si>
  <si>
    <t>CHAPITRE 3 - POISSONS ET CRUSTACÉS, MOLLUSQUES ET AUTRES INVERTÉBRÉS AQUATIQUES: Filets de poissons et autre chair de poissons (même hachée), frais, réfrigérés ou congelés: autres, congelés: Lieus d'Alaska (Theragra chalcogramma): autres</t>
  </si>
  <si>
    <t>Foies, œufs et laitances de poissons, séchés, fumés, salés ou en saumure</t>
  </si>
  <si>
    <t>CHAPITRE 3 - POISSONS ET CRUSTACÉS, MOLLUSQUES ET AUTRES INVERTÉBRÉS AQUATIQUES: Poissons séchés, salés ou en saumure; poissons fumés, même cuits avant ou pendant le fumage: Foies, œufs et laitances de poissons, séchés, fumés, salés ou en saumure</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</si>
  <si>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Foies, œufs et laitances de poissons, séchés, fumés, salés ou en saumure</t>
  </si>
  <si>
    <t>Tilapias (Oreochromis spp.), siluridés (Pangasius spp., Silurus spp., Clarias spp., Ictalurus spp.), carpes (Cyprinus spp., Carassius spp., Ctenopharyngodon idellus, Hypophthalmichthys spp., Cirrhinus spp., Mylopharyngodon piceus, Catla catla, Labeo spp., Osteochilus hasselti, Leptobarbus hoeveni, Megalobrama spp.), anguilles (Anguilla spp.), perches du Nil (Lates niloticus) et poissons tête de serpent (Channa spp.)</t>
  </si>
  <si>
    <t>CHAPITRE 3 - POISSONS ET CRUSTACÉS, MOLLUSQUES ET AUTRES INVERTÉBRÉS AQUATIQUES: Poissons séchés, salés ou en saumure; poissons fumés, même cuits avant ou pendant le fumage: Filets de poissons, séchés, salés ou en saumure, mais non fumés: Tilapias (Oreochromis spp.), siluridés (Pangasius spp., Silurus spp., Clarias spp., Ictalurus spp.), carpes (Cyprinus spp., Carassius spp., Ctenopharyngodon idellus, Hypophthalmichthys spp., Cirrhinus spp., Mylopharyngodon piceus, Catla catla, Labeo spp., Osteochilus hasselti, Leptobarbus hoeveni, Megalobrama spp.), anguilles (Anguilla spp.), perches du Nil (Lates niloticus) et poissons tête de serpent (Channa spp.)</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</si>
  <si>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Filets de poissons, séchés, salés ou en saumure, mais non fumés: Tilapias (Oreochromis spp.), siluridés (Pangasius spp., Silurus spp., Clarias spp., Ictalurus spp.), carpes (Cyprinus spp., Carassius spp., Ctenopharyngodon idellus, Hypophthalmichthys spp., Cirrhinus spp., Mylopharyngodon piceus, Catla catla, Labeo spp., Osteochilus hasselti, Leptobarbus hoeveni, Megalobrama spp.), anguilles (Anguilla spp.), perches du Nil (Lates niloticus) et poissons tête de serpent (Channa spp.)</t>
  </si>
  <si>
    <t>de l'espèce Gadus macrocephalus</t>
  </si>
  <si>
    <t>CHAPITRE 3 - POISSONS ET CRUSTACÉS, MOLLUSQUES ET AUTRES INVERTÉBRÉS AQUATIQUES: Poissons séchés, salés ou en saumure; poissons fumés, même cuits avant ou pendant le fumage: Filets de poissons, séchés, salés ou en saumure, mais non fumés: Poissons des familles Bregmacerotidae, Euclichthyidae, Gadidae, Macrouridae, Melanonidae, Merlucciidae, Moridae et Muraenolepididae: Morues (Gadus morhua, Gadus ogac, Gadus macrocephalus) et morues polaires (Boreogadus saida): de l'espèce Gadus macrocephalus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</si>
  <si>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Filets de poissons, séchés, salés ou en saumure, mais non fumés: Poissons des familles Bregmacerotidae, Euclichthyidae, Gadidae, Macrouridae, Melanonidae, Merlucciidae, Moridae et Muraenolepididae: Morues (Gadus morhua, Gadus ogac, Gadus macrocephalus) et morues polaires (Boreogadus saida): de l'espèce Gadus macrocephalus</t>
  </si>
  <si>
    <t>CHAPITRE 3 - POISSONS ET CRUSTACÉS, MOLLUSQUES ET AUTRES INVERTÉBRÉS AQUATIQUES: Poissons séchés, salés ou en saumure; poissons fumés, même cuits avant ou pendant le fumage: Filets de poissons, séchés, salés ou en saumure, mais non fumés: Poissons des familles Bregmacerotidae, Euclichthyidae, Gadidae, Macrouridae, Melanonidae, Merlucciidae, Moridae et Muraenolepididae: Morues (Gadus morhua, Gadus ogac, Gadus macrocephalus) et morues polaires (Boreogadus saida): autres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</si>
  <si>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Filets de poissons, séchés, salés ou en saumure, mais non fumés: Poissons des familles Bregmacerotidae, Euclichthyidae, Gadidae, Macrouridae, Melanonidae, Merlucciidae, Moridae et Muraenolepididae: Morues (Gadus morhua, Gadus ogac, Gadus macrocephalus) et morues polaires (Boreogadus saida): autres</t>
  </si>
  <si>
    <t>CHAPITRE 3 - POISSONS ET CRUSTACÉS, MOLLUSQUES ET AUTRES INVERTÉBRÉS AQUATIQUES: Poissons séchés, salés ou en saumure; poissons fumés, même cuits avant ou pendant le fumage: Filets de poissons, séchés, salés ou en saumure, mais non fumés: Poissons des familles Bregmacerotidae, Euclichthyidae, Gadidae, Macrouridae, Melanonidae, Merlucciidae, Moridae et Muraenolepididae: autres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</si>
  <si>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Filets de poissons, séchés, salés ou en saumure, mais non fumés: Poissons des familles Bregmacerotidae, Euclichthyidae, Gadidae, Macrouridae, Melanonidae, Merlucciidae, Moridae et Muraenolepididae: autres</t>
  </si>
  <si>
    <t>Saumons du Pacifique (Oncorhynchus nerka, Oncorhynchus gorbuscha, Oncorhynchus keta, Oncorhynchus tschawytscha, Oncorhynchus kisutch, Oncorhynchus masou et Oncorhynchus rhodurus), saumons de l'Atlantique (Salmo salar) et saumons du Danube (Hucho hucho), salés ou en saumure</t>
  </si>
  <si>
    <t>CHAPITRE 3 - POISSONS ET CRUSTACÉS, MOLLUSQUES ET AUTRES INVERTÉBRÉS AQUATIQUES: Poissons séchés, salés ou en saumure; poissons fumés, même cuits avant ou pendant le fumage: Filets de poissons, séchés, salés ou en saumure, mais non fumés: autres: Saumons du Pacifique (Oncorhynchus nerka, Oncorhynchus gorbuscha, Oncorhynchus keta, Oncorhynchus tschawytscha, Oncorhynchus kisutch, Oncorhynchus masou et Oncorhynchus rhodurus), saumons de l'Atlantique (Salmo salar) et saumons du Danube (Hucho hucho), salés ou en saumure</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</si>
  <si>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Filets de poissons, séchés, salés ou en saumure, mais non fumés: autres: Saumons du Pacifique (Oncorhynchus nerka, Oncorhynchus gorbuscha, Oncorhynchus keta, Oncorhynchus tschawytscha, Oncorhynchus kisutch, Oncorhynchus masou et Oncorhynchus rhodurus), saumons de l'Atlantique (Salmo salar) et saumons du Danube (Hucho hucho), salés ou en saumure</t>
  </si>
  <si>
    <t>Flétans noirs (Reinhardtius hippoglossoides), salés ou en saumure</t>
  </si>
  <si>
    <t>CHAPITRE 3 - POISSONS ET CRUSTACÉS, MOLLUSQUES ET AUTRES INVERTÉBRÉS AQUATIQUES: Poissons séchés, salés ou en saumure; poissons fumés, même cuits avant ou pendant le fumage: Filets de poissons, séchés, salés ou en saumure, mais non fumés: autres: Flétans noirs (Reinhardtius hippoglossoides), salés ou en saumure</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</si>
  <si>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Filets de poissons, séchés, salés ou en saumure, mais non fumés: autres: Flétans noirs (Reinhardtius hippoglossoides), salés ou en saumure</t>
  </si>
  <si>
    <t>CHAPITRE 3 - POISSONS ET CRUSTACÉS, MOLLUSQUES ET AUTRES INVERTÉBRÉS AQUATIQUES: Poissons séchés, salés ou en saumure; poissons fumés, même cuits avant ou pendant le fumage: Filets de poissons, séchés, salés ou en saumure, mais non fumés: autres: autres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</si>
  <si>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Filets de poissons, séchés, salés ou en saumure, mais non fumés: autres: autres</t>
  </si>
  <si>
    <t>Saumons du Pacifique (Oncorhynchus nerka, Oncorhynchus gorbuscha, Oncorhynchus keta, Oncorhynchus tschawytscha, Oncorhynchus kisutch, Oncorhynchus masou et Oncorhynchus rhodurus), saumons de l'Atlantique (Salmo salar) et saumons du Danube (Hucho hucho)</t>
  </si>
  <si>
    <t>CHAPITRE 3 - POISSONS ET CRUSTACÉS, MOLLUSQUES ET AUTRES INVERTÉBRÉS AQUATIQUES: Poissons séchés, salés ou en saumure; poissons fumés, même cuits avant ou pendant le fumage: Poissons fumés, y compris les filets, autres que les abats de poissons comestibles: Saumons du Pacifique (Oncorhynchus nerka, Oncorhynchus gorbuscha, Oncorhynchus keta, Oncorhynchus tschawytscha, Oncorhynchus kisutch, Oncorhynchus masou et Oncorhynchus rhodurus), saumons de l'Atlantique (Salmo salar) et saumons du Danube (Hucho hucho)</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</si>
  <si>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fumés, y compris les filets, autres que les abats de poissons comestibles: Saumons du Pacifique (Oncorhynchus nerka, Oncorhynchus gorbuscha, Oncorhynchus keta, Oncorhynchus tschawytscha, Oncorhynchus kisutch, Oncorhynchus masou et Oncorhynchus rhodurus), saumons de l'Atlantique (Salmo salar) et saumons du Danube (Hucho hucho)</t>
  </si>
  <si>
    <t>Harengs (Clupea harengus, Clupea pallasii)</t>
  </si>
  <si>
    <t>CHAPITRE 3 - POISSONS ET CRUSTACÉS, MOLLUSQUES ET AUTRES INVERTÉBRÉS AQUATIQUES: Poissons séchés, salés ou en saumure; poissons fumés, même cuits avant ou pendant le fumage: Poissons fumés, y compris les filets, autres que les abats de poissons comestibles: Harengs (Clupea harengus, Clupea pallasii)</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</si>
  <si>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fumés, y compris les filets, autres que les abats de poissons comestibles: Harengs (Clupea harengus, Clupea pallasii)</t>
  </si>
  <si>
    <t>Truites (Salmo trutta, Oncorhynchus mykiss, Oncorhynchus clarki, Oncorhynchus aguabonita, Oncorhynchus gilae, Oncorhynchus apache et Oncorhynchus chrysogaster)</t>
  </si>
  <si>
    <t>CHAPITRE 3 - POISSONS ET CRUSTACÉS, MOLLUSQUES ET AUTRES INVERTÉBRÉS AQUATIQUES: Poissons séchés, salés ou en saumure; poissons fumés, même cuits avant ou pendant le fumage: Poissons fumés, y compris les filets, autres que les abats de poissons comestibles: Truites (Salmo trutta, Oncorhynchus mykiss, Oncorhynchus clarki, Oncorhynchus aguabonita, Oncorhynchus gilae, Oncorhynchus apache et Oncorhynchus chrysogaster)</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</si>
  <si>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fumés, y compris les filets, autres que les abats de poissons comestibles: Truites (Salmo trutta, Oncorhynchus mykiss, Oncorhynchus clarki, Oncorhynchus aguabonita, Oncorhynchus gilae, Oncorhynchus apache et Oncorhynchus chrysogaster)</t>
  </si>
  <si>
    <t>Anguilles (Anguilla spp.)</t>
  </si>
  <si>
    <t>CHAPITRE 3 - POISSONS ET CRUSTACÉS, MOLLUSQUES ET AUTRES INVERTÉBRÉS AQUATIQUES: Poissons séchés, salés ou en saumure; poissons fumés, même cuits avant ou pendant le fumage: Poissons fumés, y compris les filets, autres que les abats de poissons comestibles: Tilapias (Oreochromis spp.), siluridés (Pangasius spp., Silurus spp., Clarias spp., Ictalurus spp.), carpes (Cyprinus spp., Carassius spp., Ctenopharyngodon idellus, Hypophthalmichthys spp., Cirrhinus spp., Mylopharyngodon piceus, Catla catla, Labeo spp., Osteochilus hasselti, Leptobarbus hoeveni, Megalobrama spp.), anguilles (Anguilla spp.), perches du Nil (Lates niloticus) et poissons tête de serpent (Channa spp.): Anguilles (Anguilla spp.)</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</si>
  <si>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fumés, y compris les filets, autres que les abats de poissons comestibles: Tilapias (Oreochromis spp.), siluridés (Pangasius spp., Silurus spp., Clarias spp., Ictalurus spp.), carpes (Cyprinus spp., Carassius spp., Ctenopharyngodon idellus, Hypophthalmichthys spp., Cirrhinus spp., Mylopharyngodon piceus, Catla catla, Labeo spp., Osteochilus hasselti, Leptobarbus hoeveni, Megalobrama spp.), anguilles (Anguilla spp.), perches du Nil (Lates niloticus) et poissons tête de serpent (Channa spp.): Anguilles (Anguilla spp.)</t>
  </si>
  <si>
    <t>CHAPITRE 3 - POISSONS ET CRUSTACÉS, MOLLUSQUES ET AUTRES INVERTÉBRÉS AQUATIQUES: Poissons séchés, salés ou en saumure; poissons fumés, même cuits avant ou pendant le fumage: Poissons fumés, y compris les filets, autres que les abats de poissons comestibles: Tilapias (Oreochromis spp.), siluridés (Pangasius spp., Silurus spp., Clarias spp., Ictalurus spp.), carpes (Cyprinus spp., Carassius spp., Ctenopharyngodon idellus, Hypophthalmichthys spp., Cirrhinus spp., Mylopharyngodon piceus, Catla catla, Labeo spp., Osteochilus hasselti, Leptobarbus hoeveni, Megalobrama spp.), anguilles (Anguilla spp.), perches du Nil (Lates niloticus) et poissons tête de serpent (Channa spp.): autres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</si>
  <si>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fumés, y compris les filets, autres que les abats de poissons comestibles: Tilapias (Oreochromis spp.), siluridés (Pangasius spp., Silurus spp., Clarias spp., Ictalurus spp.), carpes (Cyprinus spp., Carassius spp., Ctenopharyngodon idellus, Hypophthalmichthys spp., Cirrhinus spp., Mylopharyngodon piceus, Catla catla, Labeo spp., Osteochilus hasselti, Leptobarbus hoeveni, Megalobrama spp.), anguilles (Anguilla spp.), perches du Nil (Lates niloticus) et poissons tête de serpent (Channa spp.): autres</t>
  </si>
  <si>
    <t>Flétans noirs (Reinhardtius hippoglossoides)</t>
  </si>
  <si>
    <t>CHAPITRE 3 - POISSONS ET CRUSTACÉS, MOLLUSQUES ET AUTRES INVERTÉBRÉS AQUATIQUES: Poissons séchés, salés ou en saumure; poissons fumés, même cuits avant ou pendant le fumage: Poissons fumés, y compris les filets, autres que les abats de poissons comestibles: autres: Flétans noirs (Reinhardtius hippoglossoides)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</si>
  <si>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fumés, y compris les filets, autres que les abats de poissons comestibles: autres: Flétans noirs (Reinhardtius hippoglossoides)</t>
  </si>
  <si>
    <t>Flétans atlantiques (Hippoglossus hippoglossus)</t>
  </si>
  <si>
    <t>CHAPITRE 3 - POISSONS ET CRUSTACÉS, MOLLUSQUES ET AUTRES INVERTÉBRÉS AQUATIQUES: Poissons séchés, salés ou en saumure; poissons fumés, même cuits avant ou pendant le fumage: Poissons fumés, y compris les filets, autres que les abats de poissons comestibles: autres: Flétans atlantiques (Hippoglossus hippoglossus)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</si>
  <si>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fumés, y compris les filets, autres que les abats de poissons comestibles: autres: Flétans atlantiques (Hippoglossus hippoglossus)</t>
  </si>
  <si>
    <t>Maquereaux (Scomber scombrus, Scomber australasicus, Scomber japonicus)</t>
  </si>
  <si>
    <t>CHAPITRE 3 - POISSONS ET CRUSTACÉS, MOLLUSQUES ET AUTRES INVERTÉBRÉS AQUATIQUES: Poissons séchés, salés ou en saumure; poissons fumés, même cuits avant ou pendant le fumage: Poissons fumés, y compris les filets, autres que les abats de poissons comestibles: autres: Maquereaux (Scomber scombrus, Scomber australasicus, Scomber japonicus)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</si>
  <si>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fumés, y compris les filets, autres que les abats de poissons comestibles: autres: Maquereaux (Scomber scombrus, Scomber australasicus, Scomber japonicus)</t>
  </si>
  <si>
    <t>CHAPITRE 3 - POISSONS ET CRUSTACÉS, MOLLUSQUES ET AUTRES INVERTÉBRÉS AQUATIQUES: Poissons séchés, salés ou en saumure; poissons fumés, même cuits avant ou pendant le fumage: Poissons fumés, y compris les filets, autres que les abats de poissons comestibles: autres: autres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</si>
  <si>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fumés, y compris les filets, autres que les abats de poissons comestibles: autres: autres</t>
  </si>
  <si>
    <t>séchées, non salées</t>
  </si>
  <si>
    <t>CHAPITRE 3 - POISSONS ET CRUSTACÉS, MOLLUSQUES ET AUTRES INVERTÉBRÉS AQUATIQUES: Poissons séchés, salés ou en saumure; poissons fumés, même cuits avant ou pendant le fumage: Poissons séchés, autres que les abats de poissons comestibles, même salés mais non fumés: Morues (Gadus morhua, Gadus ogac, Gadus macrocephalus): séchées, non salées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</si>
  <si>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séchés, autres que les abats de poissons comestibles, même salés mais non fumés: Morues (Gadus morhua, Gadus ogac, Gadus macrocephalus): séchées, non salées</t>
  </si>
  <si>
    <t>séchées et salées</t>
  </si>
  <si>
    <t>CHAPITRE 3 - POISSONS ET CRUSTACÉS, MOLLUSQUES ET AUTRES INVERTÉBRÉS AQUATIQUES: Poissons séchés, salés ou en saumure; poissons fumés, même cuits avant ou pendant le fumage: Poissons séchés, autres que les abats de poissons comestibles, même salés mais non fumés: Morues (Gadus morhua, Gadus ogac, Gadus macrocephalus): séchées et salées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</si>
  <si>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séchés, autres que les abats de poissons comestibles, même salés mais non fumés: Morues (Gadus morhua, Gadus ogac, Gadus macrocephalus): séchées et salées</t>
  </si>
  <si>
    <t>CHAPITRE 3 - POISSONS ET CRUSTACÉS, MOLLUSQUES ET AUTRES INVERTÉBRÉS AQUATIQUES: Poissons séchés, salés ou en saumure; poissons fumés, même cuits avant ou pendant le fumage: Poissons séchés, autres que les abats de poissons comestibles, même salés mais non fumés: Tilapias (Oreochromis spp.), siluridés (Pangasius spp., Silurus spp., Clarias spp., Ictalurus spp.), carpes (Cyprinus spp., Carassius spp., Ctenopharyngodon idellus, Hypophthalmichthys spp., Cirrhinus spp., Mylopharyngodon piceus, Catla catla, Labeo spp., Osteochilus hasselti, Leptobarbus hoeveni, Megalobrama spp.), anguilles (Anguilla spp.), perches du Nil (Lates niloticus) et poissons tête de serpent (Channa spp.)</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</si>
  <si>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séchés, autres que les abats de poissons comestibles, même salés mais non fumés: Tilapias (Oreochromis spp.), siluridés (Pangasius spp., Silurus spp., Clarias spp., Ictalurus spp.), carpes (Cyprinus spp., Carassius spp., Ctenopharyngodon idellus, Hypophthalmichthys spp., Cirrhinus spp., Mylopharyngodon piceus, Catla catla, Labeo spp., Osteochilus hasselti, Leptobarbus hoeveni, Megalobrama spp.), anguilles (Anguilla spp.), perches du Nil (Lates niloticus) et poissons tête de serpent (Channa spp.)</t>
  </si>
  <si>
    <t>Morues polaires (Boreogadus saida)</t>
  </si>
  <si>
    <t>CHAPITRE 3 - POISSONS ET CRUSTACÉS, MOLLUSQUES ET AUTRES INVERTÉBRÉS AQUATIQUES: Poissons séchés, salés ou en saumure; poissons fumés, même cuits avant ou pendant le fumage: Poissons séchés, autres que les abats de poissons comestibles, même salés mais non fumés: Poissons des familles Bregmacerotidae, Euclichthyidae, Gadidae,Macrouridae, Melanonidae, Merlucciidae, Moridae et Muraenolepididae, autres que morues (Gadus morhua, Gadus ogac, Gadus macrocephalus): Morues polaires (Boreogadus saida)</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</si>
  <si>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séchés, autres que les abats de poissons comestibles, même salés mais non fumés: Poissons des familles Bregmacerotidae, Euclichthyidae, Gadidae,Macrouridae, Melanonidae, Merlucciidae, Moridae et Muraenolepididae, autres que morues (Gadus morhua, Gadus ogac, Gadus macrocephalus): Morues polaires (Boreogadus saida)</t>
  </si>
  <si>
    <t>CHAPITRE 3 - POISSONS ET CRUSTACÉS, MOLLUSQUES ET AUTRES INVERTÉBRÉS AQUATIQUES: Poissons séchés, salés ou en saumure; poissons fumés, même cuits avant ou pendant le fumage: Poissons séchés, autres que les abats de poissons comestibles, même salés mais non fumés: Poissons des familles Bregmacerotidae, Euclichthyidae, Gadidae,Macrouridae, Melanonidae, Merlucciidae, Moridae et Muraenolepididae, autres que morues (Gadus morhua, Gadus ogac, Gadus macrocephalus): autres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</si>
  <si>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séchés, autres que les abats de poissons comestibles, même salés mais non fumés: Poissons des familles Bregmacerotidae, Euclichthyidae, Gadidae,Macrouridae, Melanonidae, Merlucciidae, Moridae et Muraenolepididae, autres que morues (Gadus morhua, Gadus ogac, Gadus macrocephalus): autres</t>
  </si>
  <si>
    <t>CHAPITRE 3 - POISSONS ET CRUSTACÉS, MOLLUSQUES ET AUTRES INVERTÉBRÉS AQUATIQUES: Poissons séchés, salés ou en saumure; poissons fumés, même cuits avant ou pendant le fumage: Poissons séchés, autres que les abats de poissons comestibles, même salés mais non fumés: Harengs (Clupea harengus, Clupea pallasii), anchois (Engraulis spp.), sardines (Sardina pilchardus, Sardinopsspp.), sardinelles (Sardinella spp.), sprats ou esprots (Sprattus sprattus), maquereaux (Scomber scombrus, Scomber australasicus, Scomber japonicus), maquereaux indo-pacifiques (Rastrelliger spp.), thazards (Scomberomorus spp.), chinchards (Trachurus spp.), carangues (Caranx spp.), mafous (Rachycentron canadum), castagnoles argentées (Pampus spp.), balaous du Pacifique (Cololabis saira), comètes (Decapterus spp.), capelans (Mallotus villosus), espadons (Xiphias gladius), thonines orientales (Euthynnus affinis), bonites (Sarda spp.), makaires, marlins, voiliers (Istiophoridae): Harengs (Clupea harengus, Clupea pallasii)</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</si>
  <si>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séchés, autres que les abats de poissons comestibles, même salés mais non fumés: Harengs (Clupea harengus, Clupea pallasii), anchois (Engraulis spp.), sardines (Sardina pilchardus, Sardinops spp.), sardinelles (Sardinella spp.), sprats ou esprots (Sprattus sprattus), maquereaux (Scomber scombrus, Scomber australasicus, Scomber japonicus), maquereaux indo-pacifiques (Rastrelliger spp.), thazards (Scomberomorus spp.), chinchards (Trachurus spp.), carangues (Caranx spp.), mafous (Rachycentron canadum), castagnoles argentées (Pampus spp.), balaous du Pacifique (Cololabis saira), comètes (Decapterus spp.), capelans (Mallotus villosus), espadons (Xiphias gladius), thonines orientales (Euthynnus affinis), bonites (Sarda spp.), makaires, marlins, voiliers (Istiophoridae): Harengs (Clupea harengus, Clupea pallasii)</t>
  </si>
  <si>
    <t>Anchois (Engraulis spp.)</t>
  </si>
  <si>
    <t>CHAPITRE 3 - POISSONS ET CRUSTACÉS, MOLLUSQUES ET AUTRES INVERTÉBRÉS AQUATIQUES: Poissons séchés, salés ou en saumure; poissons fumés, même cuits avant ou pendant le fumage: Poissons séchés, autres que les abats de poissons comestibles, même salés mais non fumés: Harengs (Clupea harengus, Clupea pallasii), anchois (Engraulis spp.), sardines (Sardina pilchardus, Sardinopsspp.), sardinelles (Sardinella spp.), sprats ou esprots (Sprattus sprattus), maquereaux (Scomber scombrus, Scomber australasicus, Scomber japonicus), maquereaux indo-pacifiques (Rastrelliger spp.), thazards (Scomberomorus spp.), chinchards (Trachurus spp.), carangues (Caranx spp.), mafous (Rachycentron canadum), castagnoles argentées (Pampus spp.), balaous du Pacifique (Cololabis saira), comètes (Decapterus spp.), capelans (Mallotus villosus), espadons (Xiphias gladius), thonines orientales (Euthynnus affinis), bonites (Sarda spp.), makaires, marlins, voiliers (Istiophoridae): Anchois (Engraulis spp.)</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</si>
  <si>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séchés, autres que les abats de poissons comestibles, même salés mais non fumés: Harengs (Clupea harengus, Clupea pallasii), anchois (Engraulis spp.), sardines (Sardina pilchardus, Sardinops spp.), sardinelles (Sardinella spp.), sprats ou esprots (Sprattus sprattus), maquereaux (Scomber scombrus, Scomber australasicus, Scomber japonicus), maquereaux indo-pacifiques (Rastrelliger spp.), thazards (Scomberomorus spp.), chinchards (Trachurus spp.), carangues (Caranx spp.), mafous (Rachycentron canadum), castagnoles argentées (Pampus spp.), balaous du Pacifique (Cololabis saira), comètes (Decapterus spp.), capelans (Mallotus villosus), espadons (Xiphias gladius), thonines orientales (Euthynnus affinis), bonites (Sarda spp.), makaires, marlins, voiliers (Istiophoridae): Anchois (Engraulis spp.)</t>
  </si>
  <si>
    <t>CHAPITRE 3 - POISSONS ET CRUSTACÉS, MOLLUSQUES ET AUTRES INVERTÉBRÉS AQUATIQUES: Poissons séchés, salés ou en saumure; poissons fumés, même cuits avant ou pendant le fumage: Poissons séchés, autres que les abats de poissons comestibles, même salés mais non fumés: Harengs (Clupea harengus, Clupea pallasii), anchois (Engraulis spp.), sardines (Sardina pilchardus, Sardinopsspp.), sardinelles (Sardinella spp.), sprats ou esprots (Sprattus sprattus), maquereaux (Scomber scombrus, Scomber australasicus, Scomber japonicus), maquereaux indo-pacifiques (Rastrelliger spp.), thazards (Scomberomorus spp.), chinchards (Trachurus spp.), carangues (Caranx spp.), mafous (Rachycentron canadum), castagnoles argentées (Pampus spp.), balaous du Pacifique (Cololabis saira), comètes (Decapterus spp.), capelans (Mallotus villosus), espadons (Xiphias gladius), thonines orientales (Euthynnus affinis), bonites (Sarda spp.), makaires, marlins, voiliers (Istiophoridae): autres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</si>
  <si>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séchés, autres que les abats de poissons comestibles, même salés mais non fumés: Harengs (Clupea harengus, Clupea pallasii), anchois (Engraulis spp.), sardines (Sardina pilchardus, Sardinops spp.), sardinelles (Sardinella spp.), sprats ou esprots (Sprattus sprattus), maquereaux (Scomber scombrus, Scomber australasicus, Scomber japonicus), maquereaux indo-pacifiques (Rastrelliger spp.), thazards (Scomberomorus spp.), chinchards (Trachurus spp.), carangues (Caranx spp.), mafous (Rachycentron canadum), castagnoles argentées (Pampus spp.), balaous du Pacifique (Cololabis saira), comètes (Decapterus spp.), capelans (Mallotus villosus), espadons (Xiphias gladius), thonines orientales (Euthynnus affinis), bonites (Sarda spp.), makaires, marlins, voiliers (Istiophoridae): autres</t>
  </si>
  <si>
    <t>CHAPITRE 3 - POISSONS ET CRUSTACÉS, MOLLUSQUES ET AUTRES INVERTÉBRÉS AQUATIQUES: Poissons séchés, salés ou en saumure; poissons fumés, même cuits avant ou pendant le fumage: Poissons séchés, autres que les abats de poissons comestibles, même salés mais non fumés: autres: Flétans atlantiques (Hippoglossus hippoglossus)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</si>
  <si>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séchés, autres que les abats de poissons comestibles, même salés mais non fumés: autres: Flétans atlantiques (Hippoglossus hippoglossus)</t>
  </si>
  <si>
    <t>CHAPITRE 3 - POISSONS ET CRUSTACÉS, MOLLUSQUES ET AUTRES INVERTÉBRÉS AQUATIQUES: Poissons séchés, salés ou en saumure; poissons fumés, même cuits avant ou pendant le fumage: Poissons séchés, autres que les abats de poissons comestibles, même salés mais non fumés: autres: autres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</si>
  <si>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séchés, autres que les abats de poissons comestibles, même salés mais non fumés: autres: autres</t>
  </si>
  <si>
    <t>CHAPITRE 3 - POISSONS ET CRUSTACÉS, MOLLUSQUES ET AUTRES INVERTÉBRÉS AQUATIQUES: Poissons séchés, salés ou en saumure; poissons fumés, même cuits avant ou pendant le fumage: Poissons salés mais non séchés ni fumés et poissons en saumure, autres que les abats de poissons comestibles: Harengs (Clupea harengus, Clupea pallasii)</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</si>
  <si>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salés mais non séchés ni fumés et poissons en saumure, autres que les abats de poissons comestibles: Harengs (Clupea harengus, Clupea pallasii)</t>
  </si>
  <si>
    <t>Morues (Gadus morhua, Gadus ogac, Gadus macrocephalus)</t>
  </si>
  <si>
    <t>CHAPITRE 3 - POISSONS ET CRUSTACÉS, MOLLUSQUES ET AUTRES INVERTÉBRÉS AQUATIQUES: Poissons séchés, salés ou en saumure; poissons fumés, même cuits avant ou pendant le fumage: Poissons salés mais non séchés ni fumés et poissons en saumure, autres que les abats de poissons comestibles: Morues (Gadus morhua, Gadus ogac, Gadus macrocephalus)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</si>
  <si>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salés mais non séchés ni fumés et poissons en saumure, autres que les abats de poissons comestibles: Morues (Gadus morhua, Gadus ogac, Gadus macrocephalus)</t>
  </si>
  <si>
    <t>CHAPITRE 3 - POISSONS ET CRUSTACÉS, MOLLUSQUES ET AUTRES INVERTÉBRÉS AQUATIQUES: Poissons séchés, salés ou en saumure; poissons fumés, même cuits avant ou pendant le fumage: Poissons salés mais non séchés ni fumés et poissons en saumure, autres que les abats de poissons comestibles: Anchois (Engraulis spp.)</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</si>
  <si>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salés mais non séchés ni fumés et poissons en saumure, autres que les abats de poissons comestibles: Anchois (Engraulis spp.)</t>
  </si>
  <si>
    <t>CHAPITRE 3 - POISSONS ET CRUSTACÉS, MOLLUSQUES ET AUTRES INVERTÉBRÉS AQUATIQUES: Poissons séchés, salés ou en saumure; poissons fumés, même cuits avant ou pendant le fumage: Poissons salés mais non séchés ni fumés et poissons en saumure, autres que les abats de poissons comestibles: Tilapias (Oreochromis spp.), siluridés (Pangasius spp., Silurus spp., Clarias spp., Ictalurus spp.), carpes (Cyprinus spp., Carassius spp., Ctenopharyngodon idellus, Hypophthalmichthys spp., Cirrhinus spp., Mylopharyngodon piceus, Catla catla, Labeo spp., Osteochilus hasselti, Leptobarbus hoeveni, Megalobrama spp.), anguilles (Anguilla spp.), perches du Nil (Lates niloticus) et poissons tête de serpent (Channa spp.)</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</si>
  <si>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salés mais non séchés ni fumés et poissons en saumure, autres que les abats de poissons comestibles: Tilapias (Oreochromis spp.), siluridés (Pangasius spp., Silurus spp., Clarias spp., Ictalurus spp.), carpes (Cyprinus spp., Carassius spp., Ctenopharyngodon idellus, Hypophthalmichthys spp., Cirrhinus spp., Mylopharyngodon piceus, Catla catla, Labeo spp., Osteochilus hasselti, Leptobarbus hoeveni, Megalobrama spp.), anguilles (Anguilla spp.), perches du Nil (Lates niloticus) et poissons tête de serpent (Channa spp.)</t>
  </si>
  <si>
    <t>CHAPITRE 3 - POISSONS ET CRUSTACÉS, MOLLUSQUES ET AUTRES INVERTÉBRÉS AQUATIQUES: Poissons séchés, salés ou en saumure; poissons fumés, même cuits avant ou pendant le fumage: Poissons salés mais non séchés ni fumés et poissons en saumure, autres que les abats de poissons comestibles: autres: Morues polaires (Boreogadus saida)</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</si>
  <si>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salés mais non séchés ni fumés et poissons en saumure, autres que les abats de poissons comestibles: autres: Morues polaires (Boreogadus saida)</t>
  </si>
  <si>
    <t>CHAPITRE 3 - POISSONS ET CRUSTACÉS, MOLLUSQUES ET AUTRES INVERTÉBRÉS AQUATIQUES: Poissons séchés, salés ou en saumure; poissons fumés, même cuits avant ou pendant le fumage: Poissons salés mais non séchés ni fumés et poissons en saumure, autres que les abats de poissons comestibles: autres: Flétans atlantiques (Hippoglossus hippoglossus)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</si>
  <si>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salés mais non séchés ni fumés et poissons en saumure, autres que les abats de poissons comestibles: autres: Flétans atlantiques (Hippoglossus hippoglossus)</t>
  </si>
  <si>
    <t>CHAPITRE 3 - POISSONS ET CRUSTACÉS, MOLLUSQUES ET AUTRES INVERTÉBRÉS AQUATIQUES: Poissons séchés, salés ou en saumure; poissons fumés, même cuits avant ou pendant le fumage: Poissons salés mais non séchés ni fumés et poissons en saumure, autres que les abats de poissons comestibles: autres: Saumons du Pacifique (Oncorhynchus nerka, Oncorhynchus gorbuscha, Oncorhynchus keta, Oncorhynchus tschawytscha, Oncorhynchus kisutch, Oncorhynchus masou et Oncorhynchus rhodurus), saumons de l'Atlantique (Salmo salar) et saumons du Danube (Hucho hucho)</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</si>
  <si>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salés mais non séchés ni fumés et poissons en saumure, autres que les abats de poissons comestibles: autres: Saumons du Pacifique (Oncorhynchus nerka, Oncorhynchus gorbuscha, Oncorhynchus keta, Oncorhynchus tschawytscha, Oncorhynchus kisutch, Oncorhynchus masou et Oncorhynchus rhodurus), saumons de l'Atlantique (Salmo salar) et saumons du Danube (Hucho hucho)</t>
  </si>
  <si>
    <t>CHAPITRE 3 - POISSONS ET CRUSTACÉS, MOLLUSQUES ET AUTRES INVERTÉBRÉS AQUATIQUES: Poissons séchés, salés ou en saumure; poissons fumés, même cuits avant ou pendant le fumage: Poissons salés mais non séchés ni fumés et poissons en saumure, autres que les abats de poissons comestibles: autres: autres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</si>
  <si>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Poissons salés mais non séchés ni fumés et poissons en saumure, autres que les abats de poissons comestibles: autres: autres</t>
  </si>
  <si>
    <t>Ailerons de requins</t>
  </si>
  <si>
    <t>CHAPITRE 3 - POISSONS ET CRUSTACÉS, MOLLUSQUES ET AUTRES INVERTÉBRÉS AQUATIQUES: Poissons séchés, salés ou en saumure; poissons fumés, même cuits avant ou pendant le fumage: Nageoires, têtes, queues, vessies natatoires et autres abats de poissons comestibles: Ailerons de requins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</si>
  <si>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Nageoires, têtes, queues, vessies natatoires et autres abats de poissons comestibles: Ailerons de requins</t>
  </si>
  <si>
    <t>Têtes, queues et vessies natatoires de poissons</t>
  </si>
  <si>
    <t>CHAPITRE 3 - POISSONS ET CRUSTACÉS, MOLLUSQUES ET AUTRES INVERTÉBRÉS AQUATIQUES: Poissons séchés, salés ou en saumure; poissons fumés, même cuits avant ou pendant le fumage: Nageoires, têtes, queues, vessies natatoires et autres abats de poissons comestibles: Têtes, queues et vessies natatoires de poissons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</si>
  <si>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Nageoires, têtes, queues, vessies natatoires et autres abats de poissons comestibles: Têtes, queues et vessies natatoires de poissons</t>
  </si>
  <si>
    <t>CHAPITRE 3 - POISSONS ET CRUSTACÉS, MOLLUSQUES ET AUTRES INVERTÉBRÉS AQUATIQUES: Poissons séchés, salés ou en saumure; poissons fumés, même cuits avant ou pendant le fumage: Nageoires, têtes, queues, vessies natatoires et autres abats de poissons comestibles: autres</t>
  </si>
  <si>
    <t>CHAPITRE 3 - POISSONS ET CRUSTACÉS, MOLLUSQUES ET AUTRES INVERTÉBRÉS AQUATIQUES: Poissons séchés, salés ou en saumure; poissons fumés, même cuits avant ou pendant le fumage; farines, poudres et agglomérés sous forme de pellets de poisson, propres à l'alimentation humaine: Nageoires, têtes, queues, vessies natatoires et autres abats de poissons comestibles: autres</t>
  </si>
  <si>
    <t>Queues de langoustes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</si>
  <si>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Langoustes (Palinurus spp., Panulirus spp., Jasus spp.): Queues de langoustes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</si>
  <si>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Langoustes (Palinurus spp., Panulirus spp., Jasus spp.): Queues de langoustes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</si>
  <si>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Langoustes (Palinurus spp., Panulirus spp., Jasus spp.):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</si>
  <si>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Langoustes (Palinurus spp., Panulirus spp., Jasus spp.): autres</t>
  </si>
  <si>
    <t>entiers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</si>
  <si>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Homards (Homarus spp.): entiers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</si>
  <si>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Homards (Homarus spp.): entiers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</si>
  <si>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Homards (Homarus spp.):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</si>
  <si>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Homards (Homarus spp.): autres</t>
  </si>
  <si>
    <t>Crabes des espèces Paralithodes camchaticus, Chionoecetes spp. et Callinectes sapidus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</si>
  <si>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Crabes: Crabes des espèces Paralithodes camchaticus, Chionoecetes spp. et Callinectes sapidus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</si>
  <si>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Crabes: Crabes des espèces Paralithodes camchaticus, Chionoecetes spp. et Callinectes sapidus</t>
  </si>
  <si>
    <t>Crabes des espèces Cancer pagurus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</si>
  <si>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Crabes: Crabes des espèces Cancer pagurus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</si>
  <si>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Crabes: Crabes des espèces Cancer pagurus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</si>
  <si>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Crabes: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</si>
  <si>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Crabes: autres</t>
  </si>
  <si>
    <t>Langoustines (Nephrops norvegicus)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</si>
  <si>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Langoustines (Nephrops norvegicus)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</si>
  <si>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Langoustines (Nephrops norvegicus)</t>
  </si>
  <si>
    <t>Crevettes des espèces Crangon crangon</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</si>
  <si>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Crevettes d'eau froide (Pandalus spp., Crangon crangon): Crevettes des espèces Crangon crangon</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</si>
  <si>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Crevettes d'eau froide (Pandalus spp., Crangon crangon): Crevettes des espèces Crangon crangon</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</si>
  <si>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Crevettes d'eau froide (Pandalus spp., Crangon crangon):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</si>
  <si>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Crevettes d'eau froide (Pandalus spp., Crangon crangon): autres</t>
  </si>
  <si>
    <t>Crevettes roses du large (Parapenaeus longirostris)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</si>
  <si>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autres crevettes: Crevettes roses du large (Parapenaeus longirostris)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</si>
  <si>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autres crevettes: Crevettes roses du large (Parapenaeus longirostris)</t>
  </si>
  <si>
    <t>Crevettes du genre Penaeus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</si>
  <si>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autres crevettes: Crevettes du genre Penaeus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</si>
  <si>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autres crevettes: Crevettes du genre Penaeus</t>
  </si>
  <si>
    <t>Crevettes de la famille Pandalidae, à l'exception de celles du genre   Pandalus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</si>
  <si>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autres crevettes: Crevettes de la famille Pandalidae, à l'exception de celles du genre   Pandalus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</si>
  <si>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autres crevettes: Crevettes de la famille Pandalidae, à l'exception de celles du genre   Pandalus</t>
  </si>
  <si>
    <t>Crevettes du genre Crangon, à l'exception de celles de l'espèce Crangon crangon</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</si>
  <si>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autres crevettes: Crevettes du genre Crangon, à l'exception de celles de l'espèce Crangon crangon</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</si>
  <si>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autres crevettes: Crevettes du genre Crangon, à l'exception de celles de l'espèce Crangon crangon</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</si>
  <si>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autres crevettes: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</si>
  <si>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autres crevettes: autres</t>
  </si>
  <si>
    <t>Écrevisses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</si>
  <si>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autres: Écrevisses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</si>
  <si>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autres, y compris les farines, poudres et agglomérés sous forme de pellets de crustacés, propres à l'alimentation humaine: Écrevisses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</si>
  <si>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congelés: autres: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</si>
  <si>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congelés: autres, y compris les farines, poudres et agglomérés sous forme de pellets de crustacés, propres à l'alimentation humaine: autres</t>
  </si>
  <si>
    <t>Langoustes (Palinurus spp., Panulirus spp., Jasus spp.)</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</si>
  <si>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Langoustes (Palinurus spp., Panulirus spp., Jasus spp.)</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</si>
  <si>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Langoustes (Palinurus spp., Panulirus spp., Jasus spp.)</t>
  </si>
  <si>
    <t>vivants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</si>
  <si>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Homards (Homarus spp.): vivants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</si>
  <si>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Homards (Homarus spp.): vivants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</si>
  <si>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Homards (Homarus spp.): autres: entiers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</si>
  <si>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Homards (Homarus spp.): autres: entiers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</si>
  <si>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Homards (Homarus spp.): autres: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</si>
  <si>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Homards (Homarus spp.): autres: autres</t>
  </si>
  <si>
    <t>Crabes du genre Cancer pagurus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</si>
  <si>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Crabes: Crabes du genre Cancer pagurus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</si>
  <si>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Crabes: Crabes du genre Cancer pagurus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</si>
  <si>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Crabes: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</si>
  <si>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Crabes: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</si>
  <si>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Langoustines (Nephrops norvegicus)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</si>
  <si>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Langoustines (Nephrops norvegicus)</t>
  </si>
  <si>
    <t>fraîches et réfrigérées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</si>
  <si>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Crevettes d’eau froide (Pandalus spp., Crangon crangon): Crevettes du genre Crangon crangon: fraîches et réfrigérées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</si>
  <si>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Crevettes d’eau froide (Pandalus spp., Crangon crangon): Crevettes du genre Crangon crangon: fraîches et réfrigérées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</si>
  <si>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Crevettes d’eau froide (Pandalus spp., Crangon crangon): Crevettes du genre Crangon crangon: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</si>
  <si>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Crevettes d’eau froide (Pandalus spp., Crangon crangon): Crevettes du genre Crangon crangon: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</si>
  <si>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Crevettes d’eau froide (Pandalus spp., Crangon crangon):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</si>
  <si>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Crevettes d’eau froide (Pandalus spp., Crangon crangon):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</si>
  <si>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autres crevettes: Crevettes de la famille Pandalidae, à l'exception de celles du genre   Pandalus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</si>
  <si>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autres crevettes: Crevettes de la famille Pandalidae, à l'exception de celles du genre   Pandalus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</si>
  <si>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autres crevettes: Crevettes du genre Crangon, à l'exception de celles de l'espèce Crangon crangon</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</si>
  <si>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autres crevettes: Crevettes du genre Crangon, à l'exception de celles de l'espèce Crangon crangon</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</si>
  <si>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autres crevettes: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</si>
  <si>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autres crevettes: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</si>
  <si>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autres: Écrevisses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</si>
  <si>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autres, y compris les farines, poudres et agglomérés sous forme de pellets de crustacés, propres à l’alimentation humaine: Écrevisses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</si>
  <si>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Vivants, frais ou réfrigérés: autres: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</si>
  <si>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Vivants, frais, réfrigérés: autres, y compris les farines, poudres et agglomérés sous forme de pellets de crustacés, propres à l’alimentation humaine: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</si>
  <si>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autres: Langoustes (Palinurus spp., Panulirus spp., Jasus spp.)</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</si>
  <si>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autres: Langoustes (Palinurus spp., Panulirus spp., Jasus spp.)</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</si>
  <si>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autres: Homards (Homarus spp.): entiers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</si>
  <si>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autres: Homards (Homarus spp.): entiers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</si>
  <si>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autres: Homards (Homarus spp.):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</si>
  <si>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autres: Homards (Homarus spp.):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</si>
  <si>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autres: Crabes: Crabes du genre Cancer pagurus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</si>
  <si>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autres: Crabes: Crabes du genre Cancer pagurus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</si>
  <si>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autres: Crabes: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</si>
  <si>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autres: Crabes: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</si>
  <si>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autres: Langoustines (Nephrops norvegicus)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</si>
  <si>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autres: Langoustines (Nephrops norvegicus)</t>
  </si>
  <si>
    <t>cuites à l’eau ou à la vapeur</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</si>
  <si>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autres: Crevettes: Crevettes d’eau froide (Pandalus spp., Crangon crangon): Crevettes de l’espèce Crangon crangon: cuites à l’eau ou à la vapeur</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</si>
  <si>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autres: Crevettes: Crevettes d’eau froide (Pandalus spp., Crangon crangon): Crevettes de l’espèce Crangon crangon: cuites à l’eau ou à la vapeur</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</si>
  <si>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autres: Crevettes: Crevettes d’eau froide (Pandalus spp., Crangon crangon): Crevettes de l’espèce Crangon crangon: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</si>
  <si>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autres: Crevettes: Crevettes d’eau froide (Pandalus spp., Crangon crangon): Crevettes de l’espèce Crangon crangon: autres</t>
  </si>
  <si>
    <t xml:space="preserve">Pandalus spp. </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</si>
  <si>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autres: Crevettes: Crevettes d’eau froide (Pandalus spp., Crangon crangon): Pandalus spp.</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</si>
  <si>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autres: Crevettes: Crevettes d’eau froide (Pandalus spp., Crangon crangon): Pandalus spp.</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</si>
  <si>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autres: Crevettes: autres crevettes: Crevettes de la famille Pandalidae, à l'exception de celles du genre   Pandalus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</si>
  <si>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autres: Crevettes: autres crevettes: Crevettes de la famille Pandalidae, à l'exception de celles du genre   Pandalus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</si>
  <si>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autres: Crevettes: autres crevettes: Crevettes du genre Crangon, à l'exception de celles de l'espèce Crangon crangon</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</si>
  <si>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autres: Crevettes: autres crevettes: Crevettes du genre Crangon, à l'exception de celles de l'espèce Crangon crangon</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</si>
  <si>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autres: Crevettes: autres crevettes: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</si>
  <si>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autres: Crevettes: autres crevettes: autres</t>
  </si>
  <si>
    <t>Ecrevisses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</si>
  <si>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autres: autres: Ecrevisses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</si>
  <si>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autres: autres, y compris les farines, poudres et agglomérés sous forme de pellets de crustacés, propres à l’alimentation humaine: Ecrevisses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</si>
  <si>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autres: autres: autres</t>
  </si>
  <si>
    <t>CHAPITRE 3 - POISSONS ET CRUSTACÉS, MOLLUSQUES ET AUTRES INVERTÉBRÉS AQUATIQUES: Crustacés, même décortiqués, vivants, frais, réfrigérés, congelés, séchés, salés ou en saumure; crustacés, même décortiqués, fumés, même cuits avant ou pendant le fumage; crustacés non décortiqués, cuits à l'eau ou à la vapeur, même réfrigérés, congelés, séchés, salés ou en saumure; farines, poudres et agglomérés sous forme de pellets de crustacés, propres à l'alimentation humaine: autres: autres, y compris les farines, poudres et agglomérés sous forme de pellets de crustacés, propres à l’alimentation humaine: autres</t>
  </si>
  <si>
    <t>Huîtres plates (Ostrea spp.), vivantes, ne pesant pas, coquille comprise, plus de 40 g pièce</t>
  </si>
  <si>
    <t>CHAPITRE 3 - POISSONS ET CRUSTACÉS, MOLLUSQUES ET AUTRES INVERTÉBRÉS AQUATIQUES: Mollusques, même séparés de leur coquille, vivants, frais, réfrigérés, congelés, séchés, salés ou en saumure; mollusques, même décortiqués, fumés, même cuits avant ou pendant le fumage: Huîtres: vivantes, fraîches ou réfrigérées: Huîtres plates (Ostrea spp.), vivantes, ne pesant pas, coquille comprise, plus de 40 g pièce</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</si>
  <si>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Huîtres: vivantes, fraîches ou réfrigérées: Huîtres plates (Ostrea spp.), vivantes, ne pesant pas, coquille comprise, plus de 40 g pièce</t>
  </si>
  <si>
    <t>CHAPITRE 3 - POISSONS ET CRUSTACÉS, MOLLUSQUES ET AUTRES INVERTÉBRÉS AQUATIQUES: Mollusques, même séparés de leur coquille, vivants, frais, réfrigérés, congelés, séchés, salés ou en saumure; mollusques, même décortiqués, fumés, même cuits avant ou pendant le fumage: Huîtres: vivantes, fraîches ou réfrigérées: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</si>
  <si>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Huîtres: vivantes, fraîches ou réfrigérées: autres</t>
  </si>
  <si>
    <t>congelées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</si>
  <si>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Huîtres: congelées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</si>
  <si>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Huîtres: congelées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</si>
  <si>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Huîtres: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</si>
  <si>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Huîtres: autres</t>
  </si>
  <si>
    <t>Coquilles Saint-Jacques (Pecten maximus)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</si>
  <si>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Coquilles St Jacques et autres mollusques de la famille Pectinidae: congelés: Coquilles Saint-Jacques ou peignes, pétoncles ou vanneaux, autres coquillages des genres Pecten, Chlamys ou Placopecten: Coquilles St Jacques (Pecten maximus)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</si>
  <si>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Coquilles Saint-Jacques ou peignes, pétoncles ou vanneaux, autres coquillages des genres Pecten, Chlamys ou Placopecten: congelés: Coquilles Saint-Jacques (Pecten maximus)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</si>
  <si>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Coquilles St Jacques et autres mollusques de la famille Pectinidae: congelés: Coquilles Saint-Jacques ou peignes, pétoncles ou vanneaux, autres coquillages des genres Pecten, Chlamys ou Placopecten: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</si>
  <si>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Coquilles Saint-Jacques ou peignes, pétoncles ou vanneaux, autres coquillages des genres Pecten, Chlamys ou Placopecten: congelés: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</si>
  <si>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Moules (Mytilus spp., Perna spp.): vivantes, fraîches ou réfrigérées: Mytilus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</si>
  <si>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Moules (Mytilus spp., Perna spp.): vivantes, fraîches ou réfrigérées: Mytilus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</si>
  <si>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Moules (Mytilus spp., Perna spp.): vivantes, fraîches ou réfrigérées: Perna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</si>
  <si>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Moules (Mytilus spp., Perna spp.): vivantes, fraîches ou réfrigérées: Perna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</si>
  <si>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Moules (Mytilus spp., Perna spp.): congelées: Mytilus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</si>
  <si>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Moules (Mytilus spp., Perna spp.): congelées: Mytilus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</si>
  <si>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Moules (Mytilus spp., Perna spp.): congelées: Perna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</si>
  <si>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Moules (Mytilus spp., Perna spp.): congelées: Perna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</si>
  <si>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Moules (Mytilus spp., Perna spp.): autres: Mytilus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</si>
  <si>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Moules (Mytilus spp., Perna spp.): autres: Mytilus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</si>
  <si>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Moules (Mytilus spp., Perna spp.): autres: Perna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</si>
  <si>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Moules (Mytilus spp., Perna spp.): autres: Perna spp.</t>
  </si>
  <si>
    <t>Sepia officinalis, Rossia macrosoma, Sepiola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</si>
  <si>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vivants, frais ou réfrigérés: Sepia officinalis, Rossia macrosoma, Sepiola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</si>
  <si>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vivants, frais ou réfrigérés: Sepia officinalis, Rossia macrosoma, Sepiola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</si>
  <si>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vivants, frais ou réfrigérés: Loligo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</si>
  <si>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vivants, frais ou réfrigérés: Loligo spp.</t>
  </si>
  <si>
    <t>Ommastrephes spp., Nototodarus spp., Sepioteuthis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</si>
  <si>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vivants, frais ou réfrigérés: Ommastrephes spp., Nototodarus spp., Sepioteuthis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</si>
  <si>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vivants, frais ou réfrigérés: Ommastrephes spp., Nototodarus spp., Sepioteuthis spp.</t>
  </si>
  <si>
    <t xml:space="preserve">Todarodes sagittatus </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</si>
  <si>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vivants, frais ou réfrigérés: Todarodes sagittatus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</si>
  <si>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vivants, frais ou réfrigérés: Todarodes sagittatus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</si>
  <si>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vivants, frais ou réfrigérés: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</si>
  <si>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vivants, frais ou réfrigérés: autres</t>
  </si>
  <si>
    <t xml:space="preserve">Sepiola rondeleti </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</si>
  <si>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congelés: Sepia officinalis, Rossia macrosoma, Sepiola spp.: Sepiola spp.: Sepiola rondeleti</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</si>
  <si>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congelés: Sepia officinalis, Rossia macrosoma, Sepiola spp.: Sepiola spp.: Sepiola rondeleti</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</si>
  <si>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congelés: Sepia officinalis, Rossia macrosoma, Sepiola spp.: Sepiola spp.: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</si>
  <si>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congelés: Sepia officinalis, Rossia macrosoma, Sepiola spp.: Sepiola spp.: autres</t>
  </si>
  <si>
    <t xml:space="preserve">Sepia officinalis, Rossia macrosoma </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</si>
  <si>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congelés: Sepia officinalis, Rossia macrosoma, Sepiola spp.: Sepia officinalis, Rossia macrosoma</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</si>
  <si>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congelés: Sepia officinalis, Rossia macrosoma, Sepiola spp.: Sepia officinalis, Rossia macrosoma</t>
  </si>
  <si>
    <t xml:space="preserve">Loligo vulgaris </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</si>
  <si>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congelés: Loligo spp.: Loligo vulgaris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</si>
  <si>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congelés: Loligo spp.: Loligo vulgaris</t>
  </si>
  <si>
    <t xml:space="preserve">Loligo pealei </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</si>
  <si>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congelés: Loligo spp.: Loligo pealei</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</si>
  <si>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congelés: Loligo spp.: Loligo pealei</t>
  </si>
  <si>
    <t xml:space="preserve">Loligo gahi </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</si>
  <si>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congelés: Loligo spp.: Loligo gahi</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</si>
  <si>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congelés: Loligo spp.: Loligo gahi</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</si>
  <si>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congelés: Loligo spp.: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</si>
  <si>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congelés: Loligo spp.: autres</t>
  </si>
  <si>
    <t>Ommastrephes spp., autres que Ommastrephes sagittatus, Nototodarus spp., Sepioteuthis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</si>
  <si>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congelés: Ommastrephes spp., autres que Ommastrephes sagittatus, Nototodarus spp., Sepioteuthis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</si>
  <si>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congelés: Ommastrephes spp., autres que Ommastrephes sagittatus, Nototodarus spp., Sepioteuthis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</si>
  <si>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congelés: Illex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</si>
  <si>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congelés: Illex spp.</t>
  </si>
  <si>
    <t xml:space="preserve">Todarodes sagittatus (Ommastrephes sagittatus) </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</si>
  <si>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congelés: Todarodes sagittatus (Ommastrephes sagittatus)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</si>
  <si>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congelés: Todarodes sagittatus (Ommastrephes sagittatus)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</si>
  <si>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congelés: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</si>
  <si>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congelés: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</si>
  <si>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autres: Sepia officinalis, Rossia macrosoma, Sepiola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</si>
  <si>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autres: Sepia officinalis, Rossia macrosoma, Sepiola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</si>
  <si>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autres: Loligo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</si>
  <si>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autres: Loligo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</si>
  <si>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autres: Ommastrephes spp., autres que Ommastrephes sagittatus, Nototodarus spp., Sepioteuthis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</si>
  <si>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autres: Ommastrephes spp., autres que Ommastrephes sagittatus, Nototodarus spp., Sepioteuthis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</si>
  <si>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autres: Todarodes sagittatus (Ommastrephes sagittatus)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</si>
  <si>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autres: Todarodes sagittatus (Ommastrephes sagittatus)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</si>
  <si>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Seiches et sépioles; calmars et encornets: autres: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</si>
  <si>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Seiches et sépioles; calmars et encornets: autres: autres</t>
  </si>
  <si>
    <t>vivants, frais ou réfrigérés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</si>
  <si>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Poulpes ou pieuvres (Octopus spp.): vivants, frais ou réfrigérés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</si>
  <si>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Poulpes ou pieuvres (Octopus spp.): vivants, frais ou réfrigérés</t>
  </si>
  <si>
    <t>congelés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</si>
  <si>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Poulpes ou pieuvres (Octopus spp.): congelés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</si>
  <si>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Poulpes ou pieuvres (Octopus spp.): congelés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</si>
  <si>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Poulpes ou pieuvres (Octopus spp.):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</si>
  <si>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Poulpes ou pieuvres (Octopus spp.): autres</t>
  </si>
  <si>
    <t>Escargots, autres que de mer</t>
  </si>
  <si>
    <t>CHAPITRE 3 - POISSONS ET CRUSTACÉS, MOLLUSQUES ET AUTRES INVERTÉBRÉS AQUATIQUES: Mollusques, même séparés de leur coquille, vivants, frais, réfrigérés, congelés, séchés, salés ou en saumure; mollusques, même décortiqués, fumés, même cuits avant ou pendant le fumage: Escargots, autres que de mer</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</si>
  <si>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Escargots, autres que de mer</t>
  </si>
  <si>
    <t>CHAPITRE 3 - POISSONS ET CRUSTACÉS, MOLLUSQUES ET AUTRES INVERTÉBRÉS AQUATIQUES: Mollusques, même séparés de leur coquille, vivants, frais, réfrigérés, congelés, séchés, salés ou en saumure; mollusques, même décortiqués, fumés, même cuits avant ou pendant le fumage: Clams, coques et arches (familles Arcidae, Arcticidae, Cardiidae, Donacidae, Hiatellidae, Mactridae, Mesodesmatidae, Myidae, Semelidae, Solecurtidae, Solenidae, Tridacnidae et Veneridae): vivants, frais ou réfrigérés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</si>
  <si>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Clams, coques et arches (familles Arcidae, Arcticidae, Cardiidae, Donacidae, Hiatellidae, Mactridae, Mesodesmatidae, Myidae, Semelidae, Solecurtidae, Solenidae, Tridacnidae et Veneridae): vivants, frais ou réfrigérés</t>
  </si>
  <si>
    <t>Palourdes ou clovisses ou autres espèces de la famille Veneridae, congelées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</si>
  <si>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Clams, coques et arches (familles Arcidae, Arcticidae, Cardiidae, Donacidae, Hiatellidae, Mactridae, Mesodesmatidae, Myidae, Semelidae, Solecurtidae, Solenidae, Tridacnidae et Veneridae): congelés: Palourdes ou clovisses ou autres espèces de la famille Veneridae, congelées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</si>
  <si>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Clams, coques et arches (familles Arcidae, Arcticidae, Cardiidae, Donacidae, Hiatellidae, Mactridae, Mesodesmatidae, Myidae, Semelidae, Solecurtidae, Solenidae, Tridacnidae et Veneridae): congelés: Palourdes ou clovisses ou autres espèces de la famille Veneridae, congelées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</si>
  <si>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Clams, coques et arches (familles Arcidae, Arcticidae, Cardiidae, Donacidae, Hiatellidae, Mactridae, Mesodesmatidae, Myidae, Semelidae, Solecurtidae, Solenidae, Tridacnidae et Veneridae): congelés: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</si>
  <si>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Clams, coques et arches (familles Arcidae, Arcticidae, Cardiidae, Donacidae, Hiatellidae, Mactridae, Mesodesmatidae, Myidae, Semelidae, Solecurtidae, Solenidae, Tridacnidae et Veneridae): congelés: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</si>
  <si>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Clams, coques et arches (familles Arcidae, Arcticidae, Cardiidae, Donacidae, Hiatellidae, Mactridae, Mesodesmatidae, Myidae, Semelidae, Solecurtidae, Solenidae, Tridacnidae et Veneridae):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</si>
  <si>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Clams, coques et arches (familles Arcidae, Arcticidae, Cardiidae, Donacidae, Hiatellidae, Mactridae, Mesodesmatidae, Myidae, Semelidae, Solecurtidae, Solenidae, Tridacnidae et Veneridae): autres</t>
  </si>
  <si>
    <t>Ormeaux (Haliotis spp.) vivants, frais ou réfrigérés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</si>
  <si>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Ormeaux (Haliotis spp.) et strombes (Strombus spp.): Ormeaux (Haliotis spp.) vivants, frais ou réfrigérés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</si>
  <si>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Ormeaux (Haliotis spp.) et strombes (Strombus spp.): Ormeaux (Haliotis spp.) vivants, frais ou réfrigérés</t>
  </si>
  <si>
    <t>Strombes (Strombus spp.) vivants, frais ou réfrigérés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</si>
  <si>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Ormeaux (Haliotis spp.) et strombes (Strombus spp.): Strombes (Strombus spp.) vivants, frais ou réfrigérés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</si>
  <si>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Ormeaux (Haliotis spp.) et strombes (Strombus spp.): Strombes (Strombus spp.) vivants, frais ou réfrigérés</t>
  </si>
  <si>
    <t>Ormeaux (Haliotis spp.) congelés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</si>
  <si>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Ormeaux (Haliotis spp.) et strombes (Strombus spp.): Ormeaux (Haliotis spp.) congelés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</si>
  <si>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Ormeaux (Haliotis spp.) et strombes (Strombus spp.): Ormeaux (Haliotis spp.) congelés</t>
  </si>
  <si>
    <t>Strombes (Strombus spp.) congelés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</si>
  <si>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Ormeaux (Haliotis spp.) et strombes (Strombus spp.): Strombes (Strombus spp.) congelés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</si>
  <si>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Ormeaux (Haliotis spp.) et strombes (Strombus spp.): Strombes (Strombus spp.) congelés</t>
  </si>
  <si>
    <t>autres ormeaux (Haliotis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</si>
  <si>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Ormeaux (Haliotis spp.) et strombes (Strombus spp.): autres ormeaux (Haliotis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</si>
  <si>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Ormeaux (Haliotis spp.) et strombes (Strombus spp.): autres ormeaux (Haliotis spp.)</t>
  </si>
  <si>
    <t>autres strombes (Strombus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</si>
  <si>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Ormeaux (Haliotis spp.) et strombes (Strombus spp.): autres strombes (Strombus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</si>
  <si>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Ormeaux (Haliotis spp.) et strombes (Strombus spp.): autres strombes (Strombus spp.)</t>
  </si>
  <si>
    <t>CHAPITRE 3 - POISSONS ET CRUSTACÉS, MOLLUSQUES ET AUTRES INVERTÉBRÉS AQUATIQUES: Mollusques, même séparés de leur coquille, vivants, frais, réfrigérés, congelés, séchés, salés ou en saumure; mollusques, même décortiqués, fumés, même cuits avant ou pendant le fumage: autres: vivants, frais ou réfrigérés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</si>
  <si>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autres, y compris les farines, poudres et agglomérés sous forme de pellets, propres à l'alimentation humaine: vivants, frais ou réfrigérés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</si>
  <si>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autres: congelés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</si>
  <si>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autres, y compris les farines, poudres et agglomérés sous forme de pellets, propres à l'alimentation humaine: congelés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</si>
  <si>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autres: autres</t>
  </si>
  <si>
    <t>CHAPITRE 3 - POISSONS ET CRUSTACÉS, MOLLUSQUES ET AUTRES INVERTÉBRÉS AQUATIQUES: Mollusques, même séparés de leur coquille, vivants, frais, réfrigérés, congelés, séchés, salés ou en saumure; mollusques, même décortiqués, fumés, même cuits avant ou pendant le fumage; farines, poudres et agglomérés sous forme de pellets de mollusques, propres à l'alimentation humaine: autres, y compris les farines, poudres et agglomérés sous forme de pellets, propres à l'alimentation humaine: autres</t>
  </si>
  <si>
    <t>vivantes, fraîches ou réfrigérées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</si>
  <si>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Bêches-de-mer (Stichopus japonicus, Holothuroidea): vivantes, fraîches ou réfrigérées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</si>
  <si>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farines, poudres et agglomérés sous forme de pellets d'invertébrés aquatiques autres que les crustacés et mollusques, propres à l'alimentation humaine: Bêches-de-mer (Stichopus japonicus, Holothuroidea): vivantes, fraîches ou réfrigérées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</si>
  <si>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Bêches-de-mer (Stichopus japonicus, Holothuroidea): congelées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</si>
  <si>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farines, poudres et agglomérés sous forme de pellets d'invertébrés aquatiques autres que les crustacés et mollusques, propres à l'alimentation humaine: Bêches-de-mer (Stichopus japonicus, Holothuroidea): congelées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</si>
  <si>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Bêches-de-mer (Stichopus japonicus, Holothuroidea): autres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</si>
  <si>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farines, poudres et agglomérés sous forme de pellets d'invertébrés aquatiques autres que les crustacés et mollusques, propres à l'alimentation humaine: Bêches-de-mer (Stichopus japonicus, Holothuroidea): autres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</si>
  <si>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Oursins (Strongylocentrotus spp., Paracentrotus lividus, Loxechinus albus, Echinus esculentus): vivants, frais ou réfrigérés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</si>
  <si>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farines, poudres et agglomérés sous forme de pellets d'invertébrés aquatiques autres que les crustacés et mollusques, propres à l'alimentation humaine: Oursins (Strongylocentrotus spp., Paracentrotus lividus, Loxechinus albus, Echinus esculentus): vivants, frais ou réfrigérés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</si>
  <si>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Oursins (Strongylocentrotus spp., Paracentrotus lividus, Loxechinus albus, Echinus esculentus): congelés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</si>
  <si>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farines, poudres et agglomérés sous forme de pellets d'invertébrés aquatiques autres que les crustacés et mollusques, propres à l'alimentation humaine: Oursins (Strongylocentrotus spp., Paracentrotus lividus, Loxechinus albus, Echinus esculentus): congelés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</si>
  <si>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Oursins (Strongylocentrotus spp., Paracentrotus lividus, Loxechinus albus, Echinus esculentus): autres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</si>
  <si>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farines, poudres et agglomérés sous forme de pellets d'invertébrés aquatiques autres que les crustacés et mollusques, propres à l'alimentation humaine: Oursins (Strongylocentrotus spp., Paracentrotus lividus, Loxechinus albus, Echinus esculentus): autres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</si>
  <si>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Méduses (Rhopilema spp.): congelées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</si>
  <si>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farines, poudres et agglomérés sous forme de pellets d'invertébrés aquatiques autres que les crustacés et mollusques, propres à l'alimentation humaine: Méduses (Rhopilema spp.): congelées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</si>
  <si>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Méduses (Rhopilema spp.): autres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</si>
  <si>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farines, poudres et agglomérés sous forme de pellets d'invertébrés aquatiques autres que les crustacés et mollusques, propres à l'alimentation humaine: Méduses (Rhopilema spp.): autres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</si>
  <si>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autres: vivants, frais ou réfrigérés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</si>
  <si>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farines, poudres et agglomérés sous forme de pellets d'invertébrés aquatiques autres que les crustacés et mollusques, propres à l'alimentation humaine: autres: vivants, frais ou réfrigérés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</si>
  <si>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autres: congelés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</si>
  <si>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farines, poudres et agglomérés sous forme de pellets d'invertébrés aquatiques autres que les crustacés et mollusques, propres à l'alimentation humaine: autres: congelés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</si>
  <si>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autres: autres</t>
  </si>
  <si>
    <t>CHAPITRE 3 - POISSONS ET CRUSTACÉS, MOLLUSQUES ET AUTRES INVERTÉBRÉS AQUATIQUES: Invertébrés aquatiques autres que les crustacés et mollusques, vivants, frais, réfrigérés, congelés, séchés, salés ou en saumure; invertébrés aquatiques autres que les crustacés et mollusques, fumés, même cuits avant ou pendant le fumage; farines, poudres et agglomérés sous forme de pellets d'invertébrés aquatiques autres que les crustacés et mollusques, propres à l'alimentation humaine: autres: autres</t>
  </si>
  <si>
    <t>n'excédant pas 1,5 %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</si>
  <si>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non aromatisés, ni additionnés de fruits ou de cacao: en poudre, en granulés ou sous d'autres formes solides: sans addition de sucre ou d'autres édulcorants et d'une teneur en poids de matières grasses: n'excédant pas 1,5 %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</si>
  <si>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non aromatisés, ni additionnés de fruits ou de cacao: en poudre, en granulés ou sous d'autres formes solides: sans addition de sucre ou d'autres édulcorants et d'une teneur en poids de matières grasses: n'excédant pas 1,5 %</t>
  </si>
  <si>
    <t>excédant 1,5 % mais n'excédant pas 27 %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</si>
  <si>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non aromatisés, ni additionnés de fruits ou de cacao: en poudre, en granulés ou sous d'autres formes solides: sans addition de sucre ou d'autres édulcorants et d'une teneur en poids de matières grasses: excédant 1,5 % mais n'excédant pas 27 %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</si>
  <si>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non aromatisés, ni additionnés de fruits ou de cacao: en poudre, en granulés ou sous d'autres formes solides: sans addition de sucre ou d'autres édulcorants et d'une teneur en poids de matières grasses: excédant 1,5 % mais n'excédant pas 27 %</t>
  </si>
  <si>
    <t>excédant 27 %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</si>
  <si>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non aromatisés, ni additionnés de fruits ou de cacao: en poudre, en granulés ou sous d'autres formes solides: sans addition de sucre ou d'autres édulcorants et d'une teneur en poids de matières grasses: excédant 27 %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</si>
  <si>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non aromatisés, ni additionnés de fruits ou de cacao: en poudre, en granulés ou sous d'autres formes solides: sans addition de sucre ou d'autres édulcorants et d'une teneur en poids de matières grasses: excédant 27 %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</si>
  <si>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non aromatisés, ni additionnés de fruits ou de cacao: en poudre, en granulés ou sous d'autres formes solides: autres, d'une teneur en poids de matières grasses: n'excédant pas 1,5 %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</si>
  <si>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non aromatisés, ni additionnés de fruits ou de cacao: en poudre, en granulés ou sous d'autres formes solides: autres, d'une teneur en poids de matières grasses: n'excédant pas 1,5 %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</si>
  <si>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non aromatisés, ni additionnés de fruits ou de cacao: en poudre, en granulés ou sous d'autres formes solides: autres, d'une teneur en poids de matières grasses: excédant 1,5 % mais n'excédant pas 27 %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</si>
  <si>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non aromatisés, ni additionnés de fruits ou de cacao: en poudre, en granulés ou sous d'autres formes solides: autres, d'une teneur en poids de matières grasses: excédant 1,5 % mais n'excédant pas 27 %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</si>
  <si>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non aromatisés, ni additionnés de fruits ou de cacao: en poudre, en granulés ou sous d'autres formes solides: autres, d'une teneur en poids de matières grasses: excédant 27 %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</si>
  <si>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non aromatisés, ni additionnés de fruits ou de cacao: en poudre, en granulés ou sous d'autres formes solides: autres, d'une teneur en poids de matières grasses: excédant 27 %</t>
  </si>
  <si>
    <t>n'excédant pas 3 %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</si>
  <si>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non aromatisés, ni additionnés de fruits ou de cacao: autres: sans addition de sucre ou d'autres édulcorants et d'une teneur en poids de matières grasses: n'excédant pas 3 %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</si>
  <si>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non aromatisés, ni additionnés de fruits ou de cacao: autres: sans addition de sucre ou d'autres édulcorants et d'une teneur en poids de matières grasses: n'excédant pas 3 %</t>
  </si>
  <si>
    <t>excédant 3 % mais n'excédant pas 6 %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</si>
  <si>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non aromatisés, ni additionnés de fruits ou de cacao: autres: sans addition de sucre ou d'autres édulcorants et d'une teneur en poids de matières grasses: excédant 3 % mais n'excédant pas 6 %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</si>
  <si>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non aromatisés, ni additionnés de fruits ou de cacao: autres: sans addition de sucre ou d'autres édulcorants et d'une teneur en poids de matières grasses: excédant 3 % mais n'excédant pas 6 %</t>
  </si>
  <si>
    <t>excédant 6 %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</si>
  <si>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non aromatisés, ni additionnés de fruits ou de cacao: autres: sans addition de sucre ou d'autres édulcorants et d'une teneur en poids de matières grasses: excédant 6 %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</si>
  <si>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non aromatisés, ni additionnés de fruits ou de cacao: autres: sans addition de sucre ou d'autres édulcorants et d'une teneur en poids de matières grasses: excédant 6 %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</si>
  <si>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non aromatisés, ni additionnés de fruits ou de cacao: autres: autres, d'une teneur en poids de matières grasses: n'excédant pas 3 %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</si>
  <si>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non aromatisés, ni additionnés de fruits ou de cacao: autres: autres, d'une teneur en poids de matières grasses: n'excédant pas 3 %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</si>
  <si>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non aromatisés, ni additionnés de fruits ou de cacao: autres: autres, d'une teneur en poids de matières grasses: excédant 3 % mais n'excédant pas 6 %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</si>
  <si>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non aromatisés, ni additionnés de fruits ou de cacao: autres: autres, d'une teneur en poids de matières grasses: excédant 3 % mais n'excédant pas 6 %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</si>
  <si>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non aromatisés, ni additionnés de fruits ou de cacao: autres: autres, d'une teneur en poids de matières grasses: excédant 6 %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</si>
  <si>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non aromatisés, ni additionnés de fruits ou de cacao: autres: autres, d'une teneur en poids de matières grasses: excédant 6 %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</si>
  <si>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aromatisés ou additionnés de fruits ou de cacao: en poudre, en granulés ou sous d'autres formes solides, d'une teneur en poids de matières grasses provenant du lait: n'excédant pas 1,5 %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</si>
  <si>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aromatisés ou additionnés de fruits ou de cacao: en poudre, en granulés ou sous d'autres formes solides, d'une teneur en poids de matières grasses provenant du lait: n'excédant pas 1,5 %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</si>
  <si>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aromatisés ou additionnés de fruits ou de cacao: en poudre, en granulés ou sous d'autres formes solides, d'une teneur en poids de matières grasses provenant du lait: excédant 1,5 % mais n'excédant pas 27 %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</si>
  <si>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aromatisés ou additionnés de fruits ou de cacao: en poudre, en granulés ou sous d'autres formes solides, d'une teneur en poids de matières grasses provenant du lait: excédant 1,5 % mais n'excédant pas 27 %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</si>
  <si>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aromatisés ou additionnés de fruits ou de cacao: en poudre, en granulés ou sous d'autres formes solides, d'une teneur en poids de matières grasses provenant du lait: excédant 27 %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</si>
  <si>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aromatisés ou additionnés de fruits ou de cacao: en poudre, en granulés ou sous d'autres formes solides, d'une teneur en poids de matières grasses provenant du lait: excédant 27 %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</si>
  <si>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aromatisés ou additionnés de fruits ou de cacao: autres, d'une teneur en poids de matières grasses provenant du lait: n'excédant pas 3 %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</si>
  <si>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aromatisés ou additionnés de fruits ou de cacao: autres, d'une teneur en poids de matières grasses provenant du lait: n'excédant pas 3 %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</si>
  <si>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aromatisés ou additionnés de fruits ou de cacao: autres, d'une teneur en poids de matières grasses provenant du lait: excédant 3 % mais n'excédant pas 6 %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</si>
  <si>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aromatisés ou additionnés de fruits ou de cacao: autres, d'une teneur en poids de matières grasses provenant du lait: excédant 3 % mais n'excédant pas 6 %</t>
  </si>
  <si>
    <t>CHAPITRE 4 - LAIT ET PRODUITS DE LA LAITERIE; ŒUFS D'OISEAUX; MIEL NATUREL; PRODUITS COMESTIBLES D'ORIGINE ANIMALE, NON DÉNOMMÉS NI COMPRIS AILLEURS: Yoghourt; babeurre, lait et crème caillés, képhir et autres laits et crèmes fermentés ou acidifiés, même concentrés ou additionnés de sucre ou d'autres édulcorants ou aromatisés ou additionnés de fruits ou de cacao: autres: aromatisés ou additionnés de fruits ou de cacao: autres, d'une teneur en poids de matières grasses provenant du lait: excédant 6 %</t>
  </si>
  <si>
    <t>CHAPITRE 4 - LAIT ET PRODUITS DE LA LAITERIE; ŒUFS D'OISEAUX; MIEL NATUREL; PRODUITS COMESTIBLES D'ORIGINE ANIMALE, NON DÉNOMMÉS NI COMPRIS AILLEURS: Babeurre, lait et crème caillés, yoghourt, képhir et autres laits et crèmes fermentés ou acidifiés, même concentrés ou additionnés de sucre ou d'autres édulcorants ou aromatisés ou additionnés de fruits ou de cacao: autres: aromatisés ou additionnés de fruits ou de cacao: autres, d'une teneur en poids de matières grasses provenant du lait: excédant 6 %</t>
  </si>
  <si>
    <t>destinées à des usages autres que la production de l'huile</t>
  </si>
  <si>
    <t>CHAPITRE 7 - LÉGUMES, PLANTES, RACINES ET TUBERCULES ALIMENTAIRES: Légumes conservés provisoirement, mais impropres, en l’état, à l’alimentation: Olives: destinées à des usages autres que la production de l'huile</t>
  </si>
  <si>
    <t>CHAPITRE 7 - LÉGUMES, PLANTES, RACINES ET TUBERCULES ALIMENTAIRES: Légumes conservés provisoirement (au moyen de gaz sulfureux ou dans de l'eau salée, soufrée ou additionnée d'autres substances servant à assurer provisoirement leur conservation, par exemple), mais impropres à l'alimentation en l'état: Olives: destinées à des usages autres que la production de l'huile</t>
  </si>
  <si>
    <t>CHAPITRE 7 - LÉGUMES, PLANTES, RACINES ET TUBERCULES ALIMENTAIRES: Légumes conservés provisoirement, mais impropres, en l’état, à l’alimentation: Olives: autres</t>
  </si>
  <si>
    <t>CHAPITRE 7 - LÉGUMES, PLANTES, RACINES ET TUBERCULES ALIMENTAIRES: Légumes conservés provisoirement (au moyen de gaz sulfureux ou dans de l'eau salée, soufrée ou additionnée d'autres substances servant à assurer provisoirement leur conservation, par exemple), mais impropres à l'alimentation en l'état: Olives: autres</t>
  </si>
  <si>
    <t>Concombres et cornichons</t>
  </si>
  <si>
    <t>CHAPITRE 7 - LÉGUMES, PLANTES, RACINES ET TUBERCULES ALIMENTAIRES: Légumes conservés provisoirement, mais impropres, en l’état, à l’alimentation: Concombres et cornichons</t>
  </si>
  <si>
    <t>CHAPITRE 7 - LÉGUMES, PLANTES, RACINES ET TUBERCULES ALIMENTAIRES: Légumes conservés provisoirement (au moyen de gaz sulfureux ou dans de l'eau salée, soufrée ou additionnée d'autres substances servant à assurer provisoirement leur conservation, par exemple), mais impropres à l'alimentation en l'état: Concombres et cornichons</t>
  </si>
  <si>
    <t>Champignons du genre Agaricus</t>
  </si>
  <si>
    <t>CHAPITRE 7 - LÉGUMES, PLANTES, RACINES ET TUBERCULES ALIMENTAIRES: Légumes conservés provisoirement, mais impropres, en l’état, à l’alimentation: Champignons et truffes: Champignons du genre Agaricus</t>
  </si>
  <si>
    <t>CHAPITRE 7 - LÉGUMES, PLANTES, RACINES ET TUBERCULES ALIMENTAIRES: Légumes conservés provisoirement (au moyen de gaz sulfureux ou dans de l'eau salée, soufrée ou additionnée d'autres substances servant à assurer provisoirement leur conservation, par exemple), mais impropres à l'alimentation en l'état: Champignons et truffes: Champignons du genre Agaricus</t>
  </si>
  <si>
    <t>CHAPITRE 7 - LÉGUMES, PLANTES, RACINES ET TUBERCULES ALIMENTAIRES: Légumes conservés provisoirement, mais impropres, en l’état, à l’alimentation: Champignons et truffes: autres</t>
  </si>
  <si>
    <t>CHAPITRE 7 - LÉGUMES, PLANTES, RACINES ET TUBERCULES ALIMENTAIRES: Légumes conservés provisoirement (au moyen de gaz sulfureux ou dans de l'eau salée, soufrée ou additionnée d'autres substances servant à assurer provisoirement leur conservation, par exemple), mais impropres à l'alimentation en l'état: Champignons et truffes: autres</t>
  </si>
  <si>
    <t>Piments du genre Capsicum ou du genre Pimenta, à l'exclusion des piments doux ou poivrons</t>
  </si>
  <si>
    <t>CHAPITRE 7 - LÉGUMES, PLANTES, RACINES ET TUBERCULES ALIMENTAIRES: Légumes conservés provisoirement, mais impropres, en l’état, à l’alimentation: autres légumes; mélanges de légumes: Légumes: Piments du genre Capsicum ou du genre Pimenta, à l'exclusion des piments doux ou poivrons</t>
  </si>
  <si>
    <t>CHAPITRE 7 - LÉGUMES, PLANTES, RACINES ET TUBERCULES ALIMENTAIRES: Légumes conservés provisoirement (au moyen de gaz sulfureux ou dans de l'eau salée, soufrée ou additionnée d'autres substances servant à assurer provisoirement leur conservation, par exemple), mais impropres à l'alimentation en l'état: autres légumes; mélanges de légumes: Légumes: Piments du genre Capsicum ou du genre Pimenta, à l'exclusion des piments doux ou poivrons</t>
  </si>
  <si>
    <t>Maïs doux</t>
  </si>
  <si>
    <t>CHAPITRE 7 - LÉGUMES, PLANTES, RACINES ET TUBERCULES ALIMENTAIRES: Légumes conservés provisoirement, mais impropres, en l’état, à l’alimentation: autres légumes; mélanges de légumes: Légumes: Maïs doux</t>
  </si>
  <si>
    <t>CHAPITRE 7 - LÉGUMES, PLANTES, RACINES ET TUBERCULES ALIMENTAIRES: Légumes conservés provisoirement (au moyen de gaz sulfureux ou dans de l'eau salée, soufrée ou additionnée d'autres substances servant à assurer provisoirement leur conservation, par exemple), mais impropres à l'alimentation en l'état: autres légumes; mélanges de légumes: Légumes: Maïs doux</t>
  </si>
  <si>
    <t>Oignons</t>
  </si>
  <si>
    <t>CHAPITRE 7 - LÉGUMES, PLANTES, RACINES ET TUBERCULES ALIMENTAIRES: Légumes conservés provisoirement, mais impropres, en l’état, à l’alimentation: autres légumes; mélanges de légumes: Légumes: Oignons</t>
  </si>
  <si>
    <t>CHAPITRE 7 - LÉGUMES, PLANTES, RACINES ET TUBERCULES ALIMENTAIRES: Légumes conservés provisoirement (au moyen de gaz sulfureux ou dans de l'eau salée, soufrée ou additionnée d'autres substances servant à assurer provisoirement leur conservation, par exemple), mais impropres à l'alimentation en l'état: autres légumes; mélanges de légumes: Légumes: Oignons</t>
  </si>
  <si>
    <t>Câpres</t>
  </si>
  <si>
    <t>CHAPITRE 7 - LÉGUMES, PLANTES, RACINES ET TUBERCULES ALIMENTAIRES: Légumes conservés provisoirement, mais impropres, en l’état, à l’alimentation: autres légumes; mélanges de légumes: Légumes: Câpres</t>
  </si>
  <si>
    <t>CHAPITRE 7 - LÉGUMES, PLANTES, RACINES ET TUBERCULES ALIMENTAIRES: Légumes conservés provisoirement (au moyen de gaz sulfureux ou dans de l'eau salée, soufrée ou additionnée d'autres substances servant à assurer provisoirement leur conservation, par exemple), mais impropres à l'alimentation en l'état: autres légumes; mélanges de légumes: Légumes: Câpres</t>
  </si>
  <si>
    <t>CHAPITRE 7 - LÉGUMES, PLANTES, RACINES ET TUBERCULES ALIMENTAIRES: Légumes conservés provisoirement, mais impropres, en l’état, à l’alimentation: autres légumes; mélanges de légumes: Légumes: autres</t>
  </si>
  <si>
    <t>CHAPITRE 7 - LÉGUMES, PLANTES, RACINES ET TUBERCULES ALIMENTAIRES: Légumes conservés provisoirement (au moyen de gaz sulfureux ou dans de l'eau salée, soufrée ou additionnée d'autres substances servant à assurer provisoirement leur conservation, par exemple), mais impropres à l'alimentation en l'état: autres légumes; mélanges de légumes: Légumes: autres</t>
  </si>
  <si>
    <t>Mélanges de légumes</t>
  </si>
  <si>
    <t>CHAPITRE 7 - LÉGUMES, PLANTES, RACINES ET TUBERCULES ALIMENTAIRES: Légumes conservés provisoirement, mais impropres, en l’état, à l’alimentation: autres légumes; mélanges de légumes: Mélanges de légumes</t>
  </si>
  <si>
    <t>CHAPITRE 7 - LÉGUMES, PLANTES, RACINES ET TUBERCULES ALIMENTAIRES: Légumes conservés provisoirement (au moyen de gaz sulfureux ou dans de l'eau salée, soufrée ou additionnée d'autres substances servant à assurer provisoirement leur conservation, par exemple), mais impropres à l'alimentation en l'état: autres légumes; mélanges de légumes: Mélanges de légumes</t>
  </si>
  <si>
    <t>Cerises</t>
  </si>
  <si>
    <t>CHAPITRE 8 - FRUITS COMESTIBLES; ÉCORCES D'AGRUMES OU DE MELONS: Fruits conservés provisoirement, mais impropres, en l’état, à l’alimentation: Cerises</t>
  </si>
  <si>
    <t>CHAPITRE 8 - FRUITS COMESTIBLES; ÉCORCES D'AGRUMES OU DE MELONS: Fruits conservés provisoirement (au moyen de gaz sulfureux ou dans l'eau salée, soufrée ou additionnée d'autres substances servant à assurer provisoirement leur conservation, par exemple), mais impropres à l'alimentation en l'état: Cerises</t>
  </si>
  <si>
    <t>Abricots; oranges</t>
  </si>
  <si>
    <t>CHAPITRE 8 - FRUITS COMESTIBLES; ÉCORCES D'AGRUMES OU DE MELONS: Fruits conservés provisoirement, mais impropres, en l’état, à l’alimentation: autres: Abricots; oranges</t>
  </si>
  <si>
    <t>CHAPITRE 8 - FRUITS COMESTIBLES; ÉCORCES D'AGRUMES OU DE MELONS: Fruits conservés provisoirement (au moyen de gaz sulfureux ou dans l'eau salée, soufrée ou additionnée d'autres substances servant à assurer provisoirement leur conservation, par exemple), mais impropres à l'alimentation en l'état: autres: Abricots; oranges</t>
  </si>
  <si>
    <t>Papayes</t>
  </si>
  <si>
    <t>CHAPITRE 8 - FRUITS COMESTIBLES; ÉCORCES D'AGRUMES OU DE MELONS: Fruits conservés provisoirement, mais impropres, en l’état, à l’alimentation: autres: Papayes</t>
  </si>
  <si>
    <t>CHAPITRE 8 - FRUITS COMESTIBLES; ÉCORCES D'AGRUMES OU DE MELONS: Fruits conservés provisoirement (au moyen de gaz sulfureux ou dans l'eau salée, soufrée ou additionnée d'autres substances servant à assurer provisoirement leur conservation, par exemple), mais impropres à l'alimentation en l'état: autres: Papayes</t>
  </si>
  <si>
    <t>Myrtilles (fruits du Vaccinium myrtillus)</t>
  </si>
  <si>
    <t>CHAPITRE 8 - FRUITS COMESTIBLES; ÉCORCES D'AGRUMES OU DE MELONS: Fruits conservés provisoirement, mais impropres, en l’état, à l’alimentation: autres: Myrtilles (fruits du Vaccinium myrtillus)</t>
  </si>
  <si>
    <t>CHAPITRE 8 - FRUITS COMESTIBLES; ÉCORCES D'AGRUMES OU DE MELONS: Fruits conservés provisoirement (au moyen de gaz sulfureux ou dans l'eau salée, soufrée ou additionnée d'autres substances servant à assurer provisoirement leur conservation, par exemple), mais impropres à l'alimentation en l'état: autres: Myrtilles (fruits du Vaccinium myrtillus)</t>
  </si>
  <si>
    <t>Goyaves, mangues, mangoustans, tamarins, pommes de cajou, litchis, fruits du jaquier, sapotilles, fruits de la passion, caramboles, pitahayas et noix tropicales</t>
  </si>
  <si>
    <t>CHAPITRE 8 - FRUITS COMESTIBLES; ÉCORCES D'AGRUMES OU DE MELONS: Fruits conservés provisoirement, mais impropres, en l’état, à l’alimentation: autres: Goyaves, mangues, mangoustans, tamarins, pommes de cajou, litchis, fruits du jaquier, sapotilles, fruits de la passion, caramboles, pitahayas et noix tropicales</t>
  </si>
  <si>
    <t>CHAPITRE 8 - FRUITS COMESTIBLES; ÉCORCES D'AGRUMES OU DE MELONS: Fruits conservés provisoirement (au moyen de gaz sulfureux ou dans l'eau salée, soufrée ou additionnée d'autres substances servant à assurer provisoirement leur conservation, par exemple), mais impropres à l'alimentation en l'état: autres: Goyaves, mangues, mangoustans, tamarins, pommes de cajou, litchis, fruits du jaquier, sapotilles, fruits de la passion, caramboles, pitahayas et noix tropicales</t>
  </si>
  <si>
    <t>CHAPITRE 8 - FRUITS COMESTIBLES; ÉCORCES D'AGRUMES OU DE MELONS: Fruits conservés provisoirement, mais impropres, en l’état, à l’alimentation: autres: autres</t>
  </si>
  <si>
    <t>CHAPITRE 8 - FRUITS COMESTIBLES; ÉCORCES D'AGRUMES OU DE MELONS: Fruits conservés provisoirement (au moyen de gaz sulfureux ou dans l'eau salée, soufrée ou additionnée d'autres substances servant à assurer provisoirement leur conservation, par exemple), mais impropres à l'alimentation en l'état: autres: autres</t>
  </si>
  <si>
    <t>destiné à des usages industriels autres que la fabrication de produits pour l'alimentation humaine</t>
  </si>
  <si>
    <t>CHAPITRE 15 - GRAISSES ET HUILES ANIMALES, VÉGÉTALES OU D’ORIGINE MICROBIENNE ET PRODUITS DE LEUR DISSOCIATION; GRAISSES ALIMENTAIRES ÉLABORÉES; CIRES D'ORIGINE ANIMALE OU VÉGÉTALE: Graisses de porc (y compris le saindoux) et graisses de volailles, autres que celles du no 0209 ou du no 1503: Saindoux: destiné à des usages industriels autres que la fabrication de produits pour l'alimentation humaine</t>
  </si>
  <si>
    <t>CHAPITRE 15 - GRAISSES ET HUILES ANIMALES OU VÉGÉTALES; PRODUITS DE LEUR DISSOCIATION; GRAISSES ALIMENTAIRES ÉLABORÉES; CIRES D'ORIGINE ANIMALE OU VÉGÉTALE: Graisses de porc (y compris le saindoux) et graisses de volailles, autres que celles du no 0209 ou du no 1503: Saindoux: destiné à des usages industriels autres que la fabrication de produits pour l'alimentation humaine</t>
  </si>
  <si>
    <t>CHAPITRE 15 - GRAISSES ET HUILES ANIMALES, VÉGÉTALES OU D’ORIGINE MICROBIENNE ET PRODUITS DE LEUR DISSOCIATION; GRAISSES ALIMENTAIRES ÉLABORÉES; CIRES D'ORIGINE ANIMALE OU VÉGÉTALE: Graisses de porc (y compris le saindoux) et graisses de volailles, autres que celles du no 0209 ou du no 1503: Saindoux: autres</t>
  </si>
  <si>
    <t>CHAPITRE 15 - GRAISSES ET HUILES ANIMALES OU VÉGÉTALES; PRODUITS DE LEUR DISSOCIATION; GRAISSES ALIMENTAIRES ÉLABORÉES; CIRES D'ORIGINE ANIMALE OU VÉGÉTALE: Graisses de porc (y compris le saindoux) et graisses de volailles, autres que celles du no 0209 ou du no 1503: Saindoux: autres</t>
  </si>
  <si>
    <t>destinées à des usages industriels autres que la fabrication de produits pour l'alimentation humaine</t>
  </si>
  <si>
    <t>CHAPITRE 15 - GRAISSES ET HUILES ANIMALES, VÉGÉTALES OU D’ORIGINE MICROBIENNE ET PRODUITS DE LEUR DISSOCIATION; GRAISSES ALIMENTAIRES ÉLABORÉES; CIRES D'ORIGINE ANIMALE OU VÉGÉTALE: Graisses de porc (y compris le saindoux) et graisses de volailles, autres que celles du no 0209 ou du no 1503: autres graisses de porc: destinées à des usages industriels autres que la fabrication de produits pour l'alimentation humaine</t>
  </si>
  <si>
    <t>CHAPITRE 15 - GRAISSES ET HUILES ANIMALES OU VÉGÉTALES; PRODUITS DE LEUR DISSOCIATION; GRAISSES ALIMENTAIRES ÉLABORÉES; CIRES D'ORIGINE ANIMALE OU VÉGÉTALE: Graisses de porc (y compris le saindoux) et graisses de volailles, autres que celles du no 0209 ou du no 1503: autres graisses de porc: destinées à des usages industriels autres que la fabrication de produits pour l'alimentation humaine</t>
  </si>
  <si>
    <t>CHAPITRE 15 - GRAISSES ET HUILES ANIMALES, VÉGÉTALES OU D’ORIGINE MICROBIENNE ET PRODUITS DE LEUR DISSOCIATION; GRAISSES ALIMENTAIRES ÉLABORÉES; CIRES D'ORIGINE ANIMALE OU VÉGÉTALE: Graisses de porc (y compris le saindoux) et graisses de volailles, autres que celles du no 0209 ou du no 1503: autres graisses de porc: autres</t>
  </si>
  <si>
    <t>CHAPITRE 15 - GRAISSES ET HUILES ANIMALES OU VÉGÉTALES; PRODUITS DE LEUR DISSOCIATION; GRAISSES ALIMENTAIRES ÉLABORÉES; CIRES D'ORIGINE ANIMALE OU VÉGÉTALE: Graisses de porc (y compris le saindoux) et graisses de volailles, autres que celles du no 0209 ou du no 1503: autres graisses de porc: autres</t>
  </si>
  <si>
    <t>CHAPITRE 15 - GRAISSES ET HUILES ANIMALES, VÉGÉTALES OU D’ORIGINE MICROBIENNE ET PRODUITS DE LEUR DISSOCIATION; GRAISSES ALIMENTAIRES ÉLABORÉES; CIRES D'ORIGINE ANIMALE OU VÉGÉTALE: Graisses de porc (y compris le saindoux) et graisses de volailles, autres que celles du no 0209 ou du no 1503: autres</t>
  </si>
  <si>
    <t>CHAPITRE 15 - GRAISSES ET HUILES ANIMALES OU VÉGÉTALES; PRODUITS DE LEUR DISSOCIATION; GRAISSES ALIMENTAIRES ÉLABORÉES; CIRES D'ORIGINE ANIMALE OU VÉGÉTALE: Graisses de porc (y compris le saindoux) et graisses de volailles, autres que celles du no 0209 ou du no 1503: autres</t>
  </si>
  <si>
    <t>CHAPITRE 15 - GRAISSES ET HUILES ANIMALES, VÉGÉTALES OU D’ORIGINE MICROBIENNE ET PRODUITS DE LEUR DISSOCIATION; GRAISSES ALIMENTAIRES ÉLABORÉES; CIRES D'ORIGINE ANIMALE OU VÉGÉTALE: Graisses des animaux des espèces bovine, ovine ou caprine, autres que celles du no 1503: Suif: destiné à des usages industriels autres que la fabrication de produits pour l'alimentation humaine</t>
  </si>
  <si>
    <t>CHAPITRE 15 - GRAISSES ET HUILES ANIMALES OU VÉGÉTALES; PRODUITS DE LEUR DISSOCIATION; GRAISSES ALIMENTAIRES ÉLABORÉES; CIRES D'ORIGINE ANIMALE OU VÉGÉTALE: Graisses des animaux des espèces bovine, ovine ou caprine, autres que celles du no 1503: Suif: destiné à des usages industriels autres que la fabrication de produits pour l'alimentation humaine</t>
  </si>
  <si>
    <t>CHAPITRE 15 - GRAISSES ET HUILES ANIMALES, VÉGÉTALES OU D’ORIGINE MICROBIENNE ET PRODUITS DE LEUR DISSOCIATION; GRAISSES ALIMENTAIRES ÉLABORÉES; CIRES D'ORIGINE ANIMALE OU VÉGÉTALE: Graisses des animaux des espèces bovine, ovine ou caprine, autres que celles du no 1503: Suif: autres</t>
  </si>
  <si>
    <t>CHAPITRE 15 - GRAISSES ET HUILES ANIMALES OU VÉGÉTALES; PRODUITS DE LEUR DISSOCIATION; GRAISSES ALIMENTAIRES ÉLABORÉES; CIRES D'ORIGINE ANIMALE OU VÉGÉTALE: Graisses des animaux des espèces bovine, ovine ou caprine, autres que celles du no 1503: Suif: autres</t>
  </si>
  <si>
    <t>CHAPITRE 15 - GRAISSES ET HUILES ANIMALES, VÉGÉTALES OU D’ORIGINE MICROBIENNE ET PRODUITS DE LEUR DISSOCIATION; GRAISSES ALIMENTAIRES ÉLABORÉES; CIRES D'ORIGINE ANIMALE OU VÉGÉTALE: Graisses des animaux des espèces bovine, ovine ou caprine, autres que celles du no 1503: autres: destinées à des usages industriels autres que la fabrication de produits pour l'alimentation humaine</t>
  </si>
  <si>
    <t>CHAPITRE 15 - GRAISSES ET HUILES ANIMALES OU VÉGÉTALES; PRODUITS DE LEUR DISSOCIATION; GRAISSES ALIMENTAIRES ÉLABORÉES; CIRES D'ORIGINE ANIMALE OU VÉGÉTALE: Graisses des animaux des espèces bovine, ovine ou caprine, autres que celles du no 1503: autres: destinées à des usages industriels autres que la fabrication de produits pour l'alimentation humaine</t>
  </si>
  <si>
    <t>CHAPITRE 15 - GRAISSES ET HUILES ANIMALES, VÉGÉTALES OU D’ORIGINE MICROBIENNE ET PRODUITS DE LEUR DISSOCIATION; GRAISSES ALIMENTAIRES ÉLABORÉES; CIRES D'ORIGINE ANIMALE OU VÉGÉTALE: Graisses des animaux des espèces bovine, ovine ou caprine, autres que celles du no 1503: autres: autres</t>
  </si>
  <si>
    <t>CHAPITRE 15 - GRAISSES ET HUILES ANIMALES OU VÉGÉTALES; PRODUITS DE LEUR DISSOCIATION; GRAISSES ALIMENTAIRES ÉLABORÉES; CIRES D'ORIGINE ANIMALE OU VÉGÉTALE: Graisses des animaux des espèces bovine, ovine ou caprine, autres que celles du no 1503: autres: autres</t>
  </si>
  <si>
    <t>destinées à des usages industriels</t>
  </si>
  <si>
    <t>CHAPITRE 15 - GRAISSES ET HUILES ANIMALES, VÉGÉTALES OU D’ORIGINE MICROBIENNE ET PRODUITS DE LEUR DISSOCIATION; GRAISSES ALIMENTAIRES ÉLABORÉES; CIRES D'ORIGINE ANIMALE OU VÉGÉTALE: Stéarine solaire, huile de saindoux, oléostéarine, oléomargarine et huile de suif, non émulsionnées, ni mélangées ni autrement préparées: Stéarine solaire et oléostéarine: destinées à des usages industriels</t>
  </si>
  <si>
    <t>CHAPITRE 15 - GRAISSES ET HUILES ANIMALES OU VÉGÉTALES; PRODUITS DE LEUR DISSOCIATION; GRAISSES ALIMENTAIRES ÉLABORÉES; CIRES D'ORIGINE ANIMALE OU VÉGÉTALE: Stéarine solaire, huile de saindoux, oléostéarine, oléomargarine et huile de suif, non émulsionnées, ni mélangées ni autrement préparées: Stéarine solaire et oléostéarine: destinées à des usages industriels</t>
  </si>
  <si>
    <t>CHAPITRE 15 - GRAISSES ET HUILES ANIMALES, VÉGÉTALES OU D’ORIGINE MICROBIENNE ET PRODUITS DE LEUR DISSOCIATION; GRAISSES ALIMENTAIRES ÉLABORÉES; CIRES D'ORIGINE ANIMALE OU VÉGÉTALE: Stéarine solaire, huile de saindoux, oléostéarine, oléomargarine et huile de suif, non émulsionnées, ni mélangées ni autrement préparées: Stéarine solaire et oléostéarine: autres</t>
  </si>
  <si>
    <t>CHAPITRE 15 - GRAISSES ET HUILES ANIMALES OU VÉGÉTALES; PRODUITS DE LEUR DISSOCIATION; GRAISSES ALIMENTAIRES ÉLABORÉES; CIRES D'ORIGINE ANIMALE OU VÉGÉTALE: Stéarine solaire, huile de saindoux, oléostéarine, oléomargarine et huile de suif, non émulsionnées, ni mélangées ni autrement préparées: Stéarine solaire et oléostéarine: autres</t>
  </si>
  <si>
    <t>Huile de suif, destinée à des usages industriels autres que la fabrication de produits pour l'alimentation humaine</t>
  </si>
  <si>
    <t>CHAPITRE 15 - GRAISSES ET HUILES ANIMALES, VÉGÉTALES OU D’ORIGINE MICROBIENNE ET PRODUITS DE LEUR DISSOCIATION; GRAISSES ALIMENTAIRES ÉLABORÉES; CIRES D'ORIGINE ANIMALE OU VÉGÉTALE: Stéarine solaire, huile de saindoux, oléostéarine, oléomargarine et huile de suif, non émulsionnées, ni mélangées ni autrement préparées: Huile de suif, destinée à des usages industriels autres que la fabrication de produits pour l'alimentation humaine</t>
  </si>
  <si>
    <t>CHAPITRE 15 - GRAISSES ET HUILES ANIMALES OU VÉGÉTALES; PRODUITS DE LEUR DISSOCIATION; GRAISSES ALIMENTAIRES ÉLABORÉES; CIRES D'ORIGINE ANIMALE OU VÉGÉTALE: Stéarine solaire, huile de saindoux, oléostéarine, oléomargarine et huile de suif, non émulsionnées, ni mélangées ni autrement préparées: Huile de suif, destinée à des usages industriels autres que la fabrication de produits pour l'alimentation humaine</t>
  </si>
  <si>
    <t>CHAPITRE 15 - GRAISSES ET HUILES ANIMALES, VÉGÉTALES OU D’ORIGINE MICROBIENNE ET PRODUITS DE LEUR DISSOCIATION; GRAISSES ALIMENTAIRES ÉLABORÉES; CIRES D'ORIGINE ANIMALE OU VÉGÉTALE: Stéarine solaire, huile de saindoux, oléostéarine, oléomargarine et huile de suif, non émulsionnées, ni mélangées ni autrement préparées: autres</t>
  </si>
  <si>
    <t>CHAPITRE 15 - GRAISSES ET HUILES ANIMALES OU VÉGÉTALES; PRODUITS DE LEUR DISSOCIATION; GRAISSES ALIMENTAIRES ÉLABORÉES; CIRES D'ORIGINE ANIMALE OU VÉGÉTALE: Stéarine solaire, huile de saindoux, oléostéarine, oléomargarine et huile de suif, non émulsionnées, ni mélangées ni autrement préparées: autres</t>
  </si>
  <si>
    <t>d'une teneur en vitamine A égale ou inférieure à 2500 unités internationales par gramme</t>
  </si>
  <si>
    <t>CHAPITRE 15 - GRAISSES ET HUILES ANIMALES, VÉGÉTALES OU D’ORIGINE MICROBIENNE ET PRODUITS DE LEUR DISSOCIATION; GRAISSES ALIMENTAIRES ÉLABORÉES; CIRES D'ORIGINE ANIMALE OU VÉGÉTALE: Graisses et huiles et leurs fractions, de poissons ou de mammifères marins, même raffinées, mais non chimiquement modifiées: Huiles de foies de poissons et leurs fractions: d'une teneur en vitamine A égale ou inférieure à 2500 unités internationales par gramme</t>
  </si>
  <si>
    <t>CHAPITRE 15 - GRAISSES ET HUILES ANIMALES OU VÉGÉTALES; PRODUITS DE LEUR DISSOCIATION; GRAISSES ALIMENTAIRES ÉLABORÉES; CIRES D'ORIGINE ANIMALE OU VÉGÉTALE: Graisses et huiles et leurs fractions, de poissons ou de mammifères marins, même raffinées, mais non chimiquement modifiées: Huiles de foies de poissons et leurs fractions: d'une teneur en vitamine A égale ou inférieure à 2500 unités internationales par gramme</t>
  </si>
  <si>
    <t>de flétans</t>
  </si>
  <si>
    <t>CHAPITRE 15 - GRAISSES ET HUILES ANIMALES, VÉGÉTALES OU D’ORIGINE MICROBIENNE ET PRODUITS DE LEUR DISSOCIATION; GRAISSES ALIMENTAIRES ÉLABORÉES; CIRES D'ORIGINE ANIMALE OU VÉGÉTALE: Graisses et huiles et leurs fractions, de poissons ou de mammifères marins, même raffinées, mais non chimiquement modifiées: Huiles de foies de poissons et leurs fractions: autres: de flétans</t>
  </si>
  <si>
    <t>CHAPITRE 15 - GRAISSES ET HUILES ANIMALES OU VÉGÉTALES; PRODUITS DE LEUR DISSOCIATION; GRAISSES ALIMENTAIRES ÉLABORÉES; CIRES D'ORIGINE ANIMALE OU VÉGÉTALE: Graisses et huiles et leurs fractions, de poissons ou de mammifères marins, même raffinées, mais non chimiquement modifiées: Huiles de foies de poissons et leurs fractions: autres: de flétans</t>
  </si>
  <si>
    <t>CHAPITRE 15 - GRAISSES ET HUILES ANIMALES, VÉGÉTALES OU D’ORIGINE MICROBIENNE ET PRODUITS DE LEUR DISSOCIATION; GRAISSES ALIMENTAIRES ÉLABORÉES; CIRES D'ORIGINE ANIMALE OU VÉGÉTALE: Graisses et huiles et leurs fractions, de poissons ou de mammifères marins, même raffinées, mais non chimiquement modifiées: Huiles de foies de poissons et leurs fractions: autres: autres</t>
  </si>
  <si>
    <t>CHAPITRE 15 - GRAISSES ET HUILES ANIMALES OU VÉGÉTALES; PRODUITS DE LEUR DISSOCIATION; GRAISSES ALIMENTAIRES ÉLABORÉES; CIRES D'ORIGINE ANIMALE OU VÉGÉTALE: Graisses et huiles et leurs fractions, de poissons ou de mammifères marins, même raffinées, mais non chimiquement modifiées: Huiles de foies de poissons et leurs fractions: autres: autres</t>
  </si>
  <si>
    <t>Fractions solides</t>
  </si>
  <si>
    <t>CHAPITRE 15 - GRAISSES ET HUILES ANIMALES, VÉGÉTALES OU D’ORIGINE MICROBIENNE ET PRODUITS DE LEUR DISSOCIATION; GRAISSES ALIMENTAIRES ÉLABORÉES; CIRES D'ORIGINE ANIMALE OU VÉGÉTALE: Graisses et huiles et leurs fractions, de poissons ou de mammifères marins, même raffinées, mais non chimiquement modifiées: Graisses et huiles de poissons et leurs fractions, autres que les huiles de foies: Fractions solides</t>
  </si>
  <si>
    <t>CHAPITRE 15 - GRAISSES ET HUILES ANIMALES OU VÉGÉTALES; PRODUITS DE LEUR DISSOCIATION; GRAISSES ALIMENTAIRES ÉLABORÉES; CIRES D'ORIGINE ANIMALE OU VÉGÉTALE: Graisses et huiles et leurs fractions, de poissons ou de mammifères marins, même raffinées, mais non chimiquement modifiées: Graisses et huiles de poissons et leurs fractions, autres que les huiles de foies: Fractions solides</t>
  </si>
  <si>
    <t>CHAPITRE 15 - GRAISSES ET HUILES ANIMALES, VÉGÉTALES OU D’ORIGINE MICROBIENNE ET PRODUITS DE LEUR DISSOCIATION; GRAISSES ALIMENTAIRES ÉLABORÉES; CIRES D'ORIGINE ANIMALE OU VÉGÉTALE: Graisses et huiles et leurs fractions, de poissons ou de mammifères marins, même raffinées, mais non chimiquement modifiées: Graisses et huiles de poissons et leurs fractions, autres que les huiles de foies: autres</t>
  </si>
  <si>
    <t>CHAPITRE 15 - GRAISSES ET HUILES ANIMALES OU VÉGÉTALES; PRODUITS DE LEUR DISSOCIATION; GRAISSES ALIMENTAIRES ÉLABORÉES; CIRES D'ORIGINE ANIMALE OU VÉGÉTALE: Graisses et huiles et leurs fractions, de poissons ou de mammifères marins, même raffinées, mais non chimiquement modifiées: Graisses et huiles de poissons et leurs fractions, autres que les huiles de foies: autres</t>
  </si>
  <si>
    <t>CHAPITRE 15 - GRAISSES ET HUILES ANIMALES, VÉGÉTALES OU D’ORIGINE MICROBIENNE ET PRODUITS DE LEUR DISSOCIATION; GRAISSES ALIMENTAIRES ÉLABORÉES; CIRES D'ORIGINE ANIMALE OU VÉGÉTALE: Graisses et huiles et leurs fractions, de poissons ou de mammifères marins, même raffinées, mais non chimiquement modifiées: Graisses et huiles de mammifères marins et leurs fractions: Fractions solides</t>
  </si>
  <si>
    <t>CHAPITRE 15 - GRAISSES ET HUILES ANIMALES OU VÉGÉTALES; PRODUITS DE LEUR DISSOCIATION; GRAISSES ALIMENTAIRES ÉLABORÉES; CIRES D'ORIGINE ANIMALE OU VÉGÉTALE: Graisses et huiles et leurs fractions, de poissons ou de mammifères marins, même raffinées, mais non chimiquement modifiées: Graisses et huiles de mammifères marins et leurs fractions: Fractions solides</t>
  </si>
  <si>
    <t>CHAPITRE 15 - GRAISSES ET HUILES ANIMALES, VÉGÉTALES OU D’ORIGINE MICROBIENNE ET PRODUITS DE LEUR DISSOCIATION; GRAISSES ALIMENTAIRES ÉLABORÉES; CIRES D'ORIGINE ANIMALE OU VÉGÉTALE: Graisses et huiles et leurs fractions, de poissons ou de mammifères marins, même raffinées, mais non chimiquement modifiées: Graisses et huiles de mammifères marins et leurs fractions: autres</t>
  </si>
  <si>
    <t>CHAPITRE 15 - GRAISSES ET HUILES ANIMALES OU VÉGÉTALES; PRODUITS DE LEUR DISSOCIATION; GRAISSES ALIMENTAIRES ÉLABORÉES; CIRES D'ORIGINE ANIMALE OU VÉGÉTALE: Graisses et huiles et leurs fractions, de poissons ou de mammifères marins, même raffinées, mais non chimiquement modifiées: Graisses et huiles de mammifères marins et leurs fractions: autres</t>
  </si>
  <si>
    <t>Graisse de suint brute (suintine)</t>
  </si>
  <si>
    <t>CHAPITRE 15 - GRAISSES ET HUILES ANIMALES, VÉGÉTALES OU D’ORIGINE MICROBIENNE ET PRODUITS DE LEUR DISSOCIATION; GRAISSES ALIMENTAIRES ÉLABORÉES; CIRES D'ORIGINE ANIMALE OU VÉGÉTALE: Graisse de suint et substances grasses dérivées, y compris la lanoline: Graisse de suint brute (suintine)</t>
  </si>
  <si>
    <t>CHAPITRE 15 - GRAISSES ET HUILES ANIMALES OU VÉGÉTALES; PRODUITS DE LEUR DISSOCIATION; GRAISSES ALIMENTAIRES ÉLABORÉES; CIRES D'ORIGINE ANIMALE OU VÉGÉTALE: Graisse de suint et substances grasses dérivées, y compris la lanoline: Graisse de suint brute (suintine)</t>
  </si>
  <si>
    <t>CHAPITRE 15 - GRAISSES ET HUILES ANIMALES, VÉGÉTALES OU D’ORIGINE MICROBIENNE ET PRODUITS DE LEUR DISSOCIATION; GRAISSES ALIMENTAIRES ÉLABORÉES; CIRES D'ORIGINE ANIMALE OU VÉGÉTALE: Graisse de suint et substances grasses dérivées, y compris la lanoline: autres</t>
  </si>
  <si>
    <t>CHAPITRE 15 - GRAISSES ET HUILES ANIMALES OU VÉGÉTALES; PRODUITS DE LEUR DISSOCIATION; GRAISSES ALIMENTAIRES ÉLABORÉES; CIRES D'ORIGINE ANIMALE OU VÉGÉTALE: Graisse de suint et substances grasses dérivées, y compris la lanoline: autres</t>
  </si>
  <si>
    <t>Autres graisses et huiles animales et leurs fractions, même raffinées, mais non chimiquement modifiées</t>
  </si>
  <si>
    <t>CHAPITRE 15 - GRAISSES ET HUILES ANIMALES, VÉGÉTALES OU D’ORIGINE MICROBIENNE ET PRODUITS DE LEUR DISSOCIATION; GRAISSES ALIMENTAIRES ÉLABORÉES; CIRES D'ORIGINE ANIMALE OU VÉGÉTALE: Autres graisses et huiles animales et leurs fractions, même raffinées, mais non chimiquement modifiées</t>
  </si>
  <si>
    <t>CHAPITRE 15 - GRAISSES ET HUILES ANIMALES OU VÉGÉTALES; PRODUITS DE LEUR DISSOCIATION; GRAISSES ALIMENTAIRES ÉLABORÉES; CIRES D'ORIGINE ANIMALE OU VÉGÉTALE: Autres graisses et huiles animales et leurs fractions, même raffinées, mais non chimiquement modifiées</t>
  </si>
  <si>
    <t>destinée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</si>
  <si>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 de soja et ses fractions, même raffinées, mais non chimiquement modifiées: Huile brute, même dégommée: destinée à des usages techniques ou industriels autres que la fabrication de produits pour l'alimentation humaine</t>
  </si>
  <si>
    <t>CHAPITRE 15 - GRAISSES ET HUILES ANIMALES OU VÉGÉTALES; PRODUITS DE LEUR DISSOCIATION; GRAISSES ALIMENTAIRES ÉLABORÉES; CIRES D'ORIGINE ANIMALE OU VÉGÉTALE: Huile de soja et ses fractions, même raffinées, mais non chimiquement modifiées: Huile brute, même dégommée: destinée à des usages techniques ou industriels autres que la fabrication de produits pour l'alimentation humaine</t>
  </si>
  <si>
    <t>autre</t>
  </si>
  <si>
    <t>CHAPITRE 15 - GRAISSES ET HUILES ANIMALES, VÉGÉTALES OU D’ORIGINE MICROBIENNE ET PRODUITS DE LEUR DISSOCIATION; GRAISSES ALIMENTAIRES ÉLABORÉES; CIRES D'ORIGINE ANIMALE OU VÉGÉTALE: Huile de soja et ses fractions, même raffinées, mais non chimiquement modifiées: Huile brute, même dégommée: autre</t>
  </si>
  <si>
    <t>CHAPITRE 15 - GRAISSES ET HUILES ANIMALES OU VÉGÉTALES; PRODUITS DE LEUR DISSOCIATION; GRAISSES ALIMENTAIRES ÉLABORÉES; CIRES D'ORIGINE ANIMALE OU VÉGÉTALE: Huile de soja et ses fractions, même raffinées, mais non chimiquement modifiées: Huile brute, même dégommée: autre</t>
  </si>
  <si>
    <t>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</si>
  <si>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 de soja et ses fractions, même raffinées, mais non chimiquement modifiées: autres: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</si>
  <si>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Huile de soja et ses fractions, même raffinées, mais non chimiquement modifiées: autres: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</si>
  <si>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 de soja et ses fractions, même raffinées, mais non chimiquement modifiées: autres: autres</t>
  </si>
  <si>
    <t>CHAPITRE 15 - GRAISSES ET HUILES ANIMALES OU VÉGÉTALES; PRODUITS DE LEUR DISSOCIATION; GRAISSES ALIMENTAIRES ÉLABORÉES; CIRES D'ORIGINE ANIMALE OU VÉGÉTALE: Huile de soja et ses fractions, même raffinées, mais non chimiquement modifiées: autres: autres</t>
  </si>
  <si>
    <t>CHAPITRE 15 - GRAISSES ET HUILES ANIMALES, VÉGÉTALES OU D’ORIGINE MICROBIENNE ET PRODUITS DE LEUR DISSOCIATION; GRAISSES ALIMENTAIRES ÉLABORÉES; CIRES D'ORIGINE ANIMALE OU VÉGÉTALE: Huile d'arachide et ses fractions, même raffinées, mais non chimiquement modifiées: Huile brute: destinée à des usages techniques ou industriels autres que la fabrication de produits pour l'alimentation humaine</t>
  </si>
  <si>
    <t>CHAPITRE 15 - GRAISSES ET HUILES ANIMALES OU VÉGÉTALES; PRODUITS DE LEUR DISSOCIATION; GRAISSES ALIMENTAIRES ÉLABORÉES; CIRES D'ORIGINE ANIMALE OU VÉGÉTALE: Huile d'arachide et ses fractions, même raffinées, mais non chimiquement modifiées: Huile brute: destinée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</si>
  <si>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 d'arachide et ses fractions, même raffinées, mais non chimiquement modifiées: Huile brute: autre</t>
  </si>
  <si>
    <t>CHAPITRE 15 - GRAISSES ET HUILES ANIMALES OU VÉGÉTALES; PRODUITS DE LEUR DISSOCIATION; GRAISSES ALIMENTAIRES ÉLABORÉES; CIRES D'ORIGINE ANIMALE OU VÉGÉTALE: Huile d'arachide et ses fractions, même raffinées, mais non chimiquement modifiées: Huile brute: autre</t>
  </si>
  <si>
    <t>CHAPITRE 15 - GRAISSES ET HUILES ANIMALES, VÉGÉTALES OU D’ORIGINE MICROBIENNE ET PRODUITS DE LEUR DISSOCIATION; GRAISSES ALIMENTAIRES ÉLABORÉES; CIRES D'ORIGINE ANIMALE OU VÉGÉTALE: Huile d'arachide et ses fractions, même raffinées, mais non chimiquement modifiées: autres: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</si>
  <si>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Huile d'arachide et ses fractions, même raffinées, mais non chimiquement modifiées: autres: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</si>
  <si>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 d'arachide et ses fractions, même raffinées, mais non chimiquement modifiées: autres: autres</t>
  </si>
  <si>
    <t>CHAPITRE 15 - GRAISSES ET HUILES ANIMALES OU VÉGÉTALES; PRODUITS DE LEUR DISSOCIATION; GRAISSES ALIMENTAIRES ÉLABORÉES; CIRES D'ORIGINE ANIMALE OU VÉGÉTALE: Huile d'arachide et ses fractions, même raffinées, mais non chimiquement modifiées: autres: autres</t>
  </si>
  <si>
    <t>CHAPITRE 15 - GRAISSES ET HUILES ANIMALES, VÉGÉTALES OU D’ORIGINE MICROBIENNE ET PRODUITS DE LEUR DISSOCIATION; GRAISSES ALIMENTAIRES ÉLABORÉES; CIRES D'ORIGINE ANIMALE OU VÉGÉTALE: Huile d'olive et ses fractions, même raffinées, mais non chimiquement modifiées: autres</t>
  </si>
  <si>
    <t>CHAPITRE 15 - GRAISSES ET HUILES ANIMALES OU VÉGÉTALES; PRODUITS DE LEUR DISSOCIATION; GRAISSES ALIMENTAIRES ÉLABORÉES; CIRES D'ORIGINE ANIMALE OU VÉGÉTALE: Huile d'olive et ses fractions, même raffinées, mais non chimiquement modifiées: autres</t>
  </si>
  <si>
    <t>CHAPITRE 15 - GRAISSES ET HUILES ANIMALES, VÉGÉTALES OU D’ORIGINE MICROBIENNE ET PRODUITS DE LEUR DISSOCIATION; GRAISSES ALIMENTAIRES ÉLABORÉES; CIRES D'ORIGINE ANIMALE OU VÉGÉTALE: Huile de palme et ses fractions, même raffinées, mais non chimiquement modifiées: Huile brute: destinée à des usages techniques ou industriels autres que la fabrication de produits pour l'alimentation humaine</t>
  </si>
  <si>
    <t>CHAPITRE 15 - GRAISSES ET HUILES ANIMALES OU VÉGÉTALES; PRODUITS DE LEUR DISSOCIATION; GRAISSES ALIMENTAIRES ÉLABORÉES; CIRES D'ORIGINE ANIMALE OU VÉGÉTALE: Huile de palme et ses fractions, même raffinées, mais non chimiquement modifiées: Huile brute: destinée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</si>
  <si>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 de palme et ses fractions, même raffinées, mais non chimiquement modifiées: Huile brute: autre</t>
  </si>
  <si>
    <t>CHAPITRE 15 - GRAISSES ET HUILES ANIMALES OU VÉGÉTALES; PRODUITS DE LEUR DISSOCIATION; GRAISSES ALIMENTAIRES ÉLABORÉES; CIRES D'ORIGINE ANIMALE OU VÉGÉTALE: Huile de palme et ses fractions, même raffinées, mais non chimiquement modifiées: Huile brute: autre</t>
  </si>
  <si>
    <t>présentées en emballages immédiats d'un contenu net de 1 kg ou moins</t>
  </si>
  <si>
    <t>CHAPITRE 15 - GRAISSES ET HUILES ANIMALES, VÉGÉTALES OU D’ORIGINE MICROBIENNE ET PRODUITS DE LEUR DISSOCIATION; GRAISSES ALIMENTAIRES ÉLABORÉES; CIRES D'ORIGINE ANIMALE OU VÉGÉTALE: Huile de palme et ses fractions, même raffinées, mais non chimiquement modifiées: autres: Fractions solides: présentées en emballages immédiats d'un contenu net de 1 kg ou moins</t>
  </si>
  <si>
    <t>CHAPITRE 15 - GRAISSES ET HUILES ANIMALES OU VÉGÉTALES; PRODUITS DE LEUR DISSOCIATION; GRAISSES ALIMENTAIRES ÉLABORÉES; CIRES D'ORIGINE ANIMALE OU VÉGÉTALE: Huile de palme et ses fractions, même raffinées, mais non chimiquement modifiées: autres: Fractions solides: présentées en emballages immédiats d'un contenu net de 1 kg ou moins</t>
  </si>
  <si>
    <t>autrement présentées</t>
  </si>
  <si>
    <t>CHAPITRE 15 - GRAISSES ET HUILES ANIMALES, VÉGÉTALES OU D’ORIGINE MICROBIENNE ET PRODUITS DE LEUR DISSOCIATION; GRAISSES ALIMENTAIRES ÉLABORÉES; CIRES D'ORIGINE ANIMALE OU VÉGÉTALE: Huile de palme et ses fractions, même raffinées, mais non chimiquement modifiées: autres: Fractions solides: autrement présentées</t>
  </si>
  <si>
    <t>CHAPITRE 15 - GRAISSES ET HUILES ANIMALES OU VÉGÉTALES; PRODUITS DE LEUR DISSOCIATION; GRAISSES ALIMENTAIRES ÉLABORÉES; CIRES D'ORIGINE ANIMALE OU VÉGÉTALE: Huile de palme et ses fractions, même raffinées, mais non chimiquement modifiées: autres: Fractions solides: autrement présentées</t>
  </si>
  <si>
    <t>CHAPITRE 15 - GRAISSES ET HUILES ANIMALES, VÉGÉTALES OU D’ORIGINE MICROBIENNE ET PRODUITS DE LEUR DISSOCIATION; GRAISSES ALIMENTAIRES ÉLABORÉES; CIRES D'ORIGINE ANIMALE OU VÉGÉTALE: Huile de palme et ses fractions, même raffinées, mais non chimiquement modifiées: autres: autres: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</si>
  <si>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Huile de palme et ses fractions, même raffinées, mais non chimiquement modifiées: autres: autres: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</si>
  <si>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 de palme et ses fractions, même raffinées, mais non chimiquement modifiées: autres: autres: autres</t>
  </si>
  <si>
    <t>CHAPITRE 15 - GRAISSES ET HUILES ANIMALES OU VÉGÉTALES; PRODUITS DE LEUR DISSOCIATION; GRAISSES ALIMENTAIRES ÉLABORÉES; CIRES D'ORIGINE ANIMALE OU VÉGÉTALE: Huile de palme et ses fractions, même raffinées, mais non chimiquement modifiées: autres: autres: autres</t>
  </si>
  <si>
    <t>CHAPITRE 15 - GRAISSES ET HUILES ANIMALES, VÉGÉTALES OU D’ORIGINE MICROBIENNE ET PRODUITS DE LEUR DISSOCIATION; GRAISSES ALIMENTAIRES ÉLABORÉES; CIRES D'ORIGINE ANIMALE OU VÉGÉTALE: Huiles de tournesol, de carthame ou de coton et leurs fractions, même raffinées, mais non chimiquement modifiées: Huiles de tournesol ou de carthame et leurs fractions: Huiles brutes: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</si>
  <si>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Huiles de tournesol, de carthame ou de coton et leurs fractions, même raffinées, mais non chimiquement modifiées: Huiles de tournesol ou de carthame et leurs fractions: Huiles brutes: destinées à des usages techniques ou industriels autres que la fabrication de produits pour l'alimentation humaine</t>
  </si>
  <si>
    <t>de tournesol</t>
  </si>
  <si>
    <t>CHAPITRE 15 - GRAISSES ET HUILES ANIMALES, VÉGÉTALES OU D’ORIGINE MICROBIENNE ET PRODUITS DE LEUR DISSOCIATION; GRAISSES ALIMENTAIRES ÉLABORÉES; CIRES D'ORIGINE ANIMALE OU VÉGÉTALE: Huiles de tournesol, de carthame ou de coton et leurs fractions, même raffinées, mais non chimiquement modifiées: Huiles de tournesol ou de carthame et leurs fractions: Huiles brutes: autres: de tournesol</t>
  </si>
  <si>
    <t>CHAPITRE 15 - GRAISSES ET HUILES ANIMALES OU VÉGÉTALES; PRODUITS DE LEUR DISSOCIATION; GRAISSES ALIMENTAIRES ÉLABORÉES; CIRES D'ORIGINE ANIMALE OU VÉGÉTALE: Huiles de tournesol, de carthame ou de coton et leurs fractions, même raffinées, mais non chimiquement modifiées: Huiles de tournesol ou de carthame et leurs fractions: Huiles brutes: autres: de tournesol</t>
  </si>
  <si>
    <t>de carthame</t>
  </si>
  <si>
    <t>CHAPITRE 15 - GRAISSES ET HUILES ANIMALES, VÉGÉTALES OU D’ORIGINE MICROBIENNE ET PRODUITS DE LEUR DISSOCIATION; GRAISSES ALIMENTAIRES ÉLABORÉES; CIRES D'ORIGINE ANIMALE OU VÉGÉTALE: Huiles de tournesol, de carthame ou de coton et leurs fractions, même raffinées, mais non chimiquement modifiées: Huiles de tournesol ou de carthame et leurs fractions: Huiles brutes: autres: de carthame</t>
  </si>
  <si>
    <t>CHAPITRE 15 - GRAISSES ET HUILES ANIMALES OU VÉGÉTALES; PRODUITS DE LEUR DISSOCIATION; GRAISSES ALIMENTAIRES ÉLABORÉES; CIRES D'ORIGINE ANIMALE OU VÉGÉTALE: Huiles de tournesol, de carthame ou de coton et leurs fractions, même raffinées, mais non chimiquement modifiées: Huiles de tournesol ou de carthame et leurs fractions: Huiles brutes: autres: de carthame</t>
  </si>
  <si>
    <t>CHAPITRE 15 - GRAISSES ET HUILES ANIMALES, VÉGÉTALES OU D’ORIGINE MICROBIENNE ET PRODUITS DE LEUR DISSOCIATION; GRAISSES ALIMENTAIRES ÉLABORÉES; CIRES D'ORIGINE ANIMALE OU VÉGÉTALE: Huiles de tournesol, de carthame ou de coton et leurs fractions, même raffinées, mais non chimiquement modifiées: Huiles de tournesol ou de carthame et leurs fractions: autres: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</si>
  <si>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Huiles de tournesol, de carthame ou de coton et leurs fractions, même raffinées, mais non chimiquement modifiées: Huiles de tournesol ou de carthame et leurs fractions: autres: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</si>
  <si>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Huiles de tournesol, de carthame ou de coton et leurs fractions, même raffinées, mais non chimiquement modifiées: Huiles de tournesol ou de carthame et leurs fractions: autres: autres</t>
  </si>
  <si>
    <t>CHAPITRE 15 - GRAISSES ET HUILES ANIMALES OU VÉGÉTALES; PRODUITS DE LEUR DISSOCIATION; GRAISSES ALIMENTAIRES ÉLABORÉES; CIRES D'ORIGINE ANIMALE OU VÉGÉTALE: Huiles de tournesol, de carthame ou de coton et leurs fractions, même raffinées, mais non chimiquement modifiées: Huiles de tournesol ou de carthame et leurs fractions: autres: autres</t>
  </si>
  <si>
    <t>CHAPITRE 15 - GRAISSES ET HUILES ANIMALES, VÉGÉTALES OU D’ORIGINE MICROBIENNE ET PRODUITS DE LEUR DISSOCIATION; GRAISSES ALIMENTAIRES ÉLABORÉES; CIRES D'ORIGINE ANIMALE OU VÉGÉTALE: Huiles de tournesol, de carthame ou de coton et leurs fractions, même raffinées, mais non chimiquement modifiées: Huile de coton et ses fractions: Huile brute, même dépourvue de gossipol: destinée à des usages techniques ou industriels autres que la fabrication de produits pour l'alimentation humaine</t>
  </si>
  <si>
    <t>CHAPITRE 15 - GRAISSES ET HUILES ANIMALES OU VÉGÉTALES; PRODUITS DE LEUR DISSOCIATION; GRAISSES ALIMENTAIRES ÉLABORÉES; CIRES D'ORIGINE ANIMALE OU VÉGÉTALE: Huiles de tournesol, de carthame ou de coton et leurs fractions, même raffinées, mais non chimiquement modifiées: Huile de coton et ses fractions: Huile brute, même dépourvue de gossipol: destinée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</si>
  <si>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Huiles de tournesol, de carthame ou de coton et leurs fractions, même raffinées, mais non chimiquement modifiées: Huile de coton et ses fractions: Huile brute, même dépourvue de gossipol: autre</t>
  </si>
  <si>
    <t>CHAPITRE 15 - GRAISSES ET HUILES ANIMALES OU VÉGÉTALES; PRODUITS DE LEUR DISSOCIATION; GRAISSES ALIMENTAIRES ÉLABORÉES; CIRES D'ORIGINE ANIMALE OU VÉGÉTALE: Huiles de tournesol, de carthame ou de coton et leurs fractions, même raffinées, mais non chimiquement modifiées: Huile de coton et ses fractions: Huile brute, même dépourvue de gossipol: autre</t>
  </si>
  <si>
    <t>CHAPITRE 15 - GRAISSES ET HUILES ANIMALES, VÉGÉTALES OU D’ORIGINE MICROBIENNE ET PRODUITS DE LEUR DISSOCIATION; GRAISSES ALIMENTAIRES ÉLABORÉES; CIRES D'ORIGINE ANIMALE OU VÉGÉTALE: Huiles de tournesol, de carthame ou de coton et leurs fractions, même raffinées, mais non chimiquement modifiées: Huile de coton et ses fractions: autres: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</si>
  <si>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Huiles de tournesol, de carthame ou de coton et leurs fractions, même raffinées, mais non chimiquement modifiées: Huile de coton et ses fractions: autres: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</si>
  <si>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Huiles de tournesol, de carthame ou de coton et leurs fractions, même raffinées, mais non chimiquement modifiées: Huile de coton et ses fractions: autres: autres</t>
  </si>
  <si>
    <t>CHAPITRE 15 - GRAISSES ET HUILES ANIMALES OU VÉGÉTALES; PRODUITS DE LEUR DISSOCIATION; GRAISSES ALIMENTAIRES ÉLABORÉES; CIRES D'ORIGINE ANIMALE OU VÉGÉTALE: Huiles de tournesol, de carthame ou de coton et leurs fractions, même raffinées, mais non chimiquement modifiées: Huile de coton et ses fractions: autres: autres</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</si>
  <si>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 de coco (huile de coprah) et ses fractions: Huile brute: destinée à des usages techniques ou industriels autres que la fabrication de produits pour l'alimentation humaine</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</si>
  <si>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 de coco (huile de coprah) et ses fractions: Huile brute: destinée à des usages techniques ou industriels autres que la fabrication de produits pour l'alimentation humaine</t>
  </si>
  <si>
    <t>présentée en emballages immédiats d'un contenu net de 1 kg ou moins</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</si>
  <si>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 de coco (huile de coprah) et ses fractions: Huile brute: autre: présentée en emballages immédiats d'un contenu net de 1 kg ou moins</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</si>
  <si>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 de coco (huile de coprah) et ses fractions: Huile brute: autre: présentée en emballages immédiats d'un contenu net de 1 kg ou moins</t>
  </si>
  <si>
    <t>autrement présentée</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</si>
  <si>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 de coco (huile de coprah) et ses fractions: Huile brute: autre: autrement présentée</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</si>
  <si>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 de coco (huile de coprah) et ses fractions: Huile brute: autre: autrement présentée</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</si>
  <si>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 de coco (huile de coprah) et ses fractions: autres: Fractions solides: présentées en emballages immédiats d'un contenu net de 1 kg ou moins</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</si>
  <si>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 de coco (huile de coprah) et ses fractions: autres: Fractions solides: présentées en emballages immédiats d'un contenu net de 1 kg ou moins</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</si>
  <si>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 de coco (huile de coprah) et ses fractions: autres: Fractions solides: autrement présentées</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</si>
  <si>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 de coco (huile de coprah) et ses fractions: autres: Fractions solides: autrement présentées</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</si>
  <si>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 de coco (huile de coprah) et ses fractions: autres: autres: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</si>
  <si>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 de coco (huile de coprah) et ses fractions: autres: autres: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</si>
  <si>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 de coco (huile de coprah) et ses fractions: autres: autres: autres: présentées en emballages immédiats d'un contenu net de 1 kg ou moins</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</si>
  <si>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 de coco (huile de coprah) et ses fractions: autres: autres: autres: présentées en emballages immédiats d'un contenu net de 1 kg ou moins</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</si>
  <si>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 de coco (huile de coprah) et ses fractions: autres: autres: autres: autrement présentées</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</si>
  <si>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 de coco (huile de coprah) et ses fractions: autres: autres: autres: autrement présentées</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</si>
  <si>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Huiles brutes: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</si>
  <si>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Huiles brutes: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</si>
  <si>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Huiles brutes: autres: présentées en emballages immédiats d'un contenu net de 1 kg ou moins</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</si>
  <si>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Huiles brutes: autres: présentées en emballages immédiats d'un contenu net de 1 kg ou moins</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</si>
  <si>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Huiles brutes: autres: autrement présentées</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</si>
  <si>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Huiles brutes: autres: autrement présentées</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</si>
  <si>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autres: Fractions solides: présentées en emballages immédiats d'un contenu net de 1 kg ou moins</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</si>
  <si>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autres: Fractions solides: présentées en emballages immédiats d'un contenu net de 1 kg ou moins</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</si>
  <si>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autres: Fractions solides: autrement présentées</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</si>
  <si>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autres: Fractions solides: autrement présentées</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</si>
  <si>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autres: autres: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</si>
  <si>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autres: autres: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</si>
  <si>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autres: autres: autres: présentées en emballages immédiats d'un contenu net de 1 kg ou moins</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</si>
  <si>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autres: autres: autres: présentées en emballages immédiats d'un contenu net de 1 kg ou moins</t>
  </si>
  <si>
    <t>CHAPITRE 15 - GRAISSES ET HUILES ANIMALES, VÉGÉTALES OU D’ORIGINE MICROBIENNE ET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autres: autres: autres: autrement présentées</t>
  </si>
  <si>
    <t>CHAPITRE 15 - GRAISSES ET HUILES ANIMALES OU VÉGÉTALES; PRODUITS DE LEUR DISSOCIATION; GRAISSES ALIMENTAIRES ÉLABORÉES; CIRES D'ORIGINE ANIMALE OU VÉGÉTALE: Huiles de coco (huile de coprah), de palmiste ou de babassu et leurs fractions, même raffinées, mais non chimiquement modifiées: Huiles de palmiste ou de babassu et leurs fractions: autres: autres: autres: autrement présentées</t>
  </si>
  <si>
    <t>CHAPITRE 15 - GRAISSES ET HUILES ANIMALES, VÉGÉTALES OU D’ORIGINE MICROBIENNE ET PRODUITS DE LEUR DISSOCIATION; GRAISSES ALIMENTAIRES ÉLABORÉES; CIRES D'ORIGINE ANIMALE OU VÉGÉTALE: Huiles de navette, de colza ou de moutarde et leurs fractions, même raffinées, mais non chimiquement modifiées: Huiles de navette ou de colza à faible teneur en acide érucique et leurs fractions: Huiles brutes: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</si>
  <si>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Huiles de navette, de colza ou de moutarde et leurs fractions, même raffinées, mais non chimiquement modifiées: Huiles de navette ou de colza à faible teneur en acide érucique et leurs fractions: Huiles brutes: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</si>
  <si>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Huiles de navette, de colza ou de moutarde et leurs fractions, même raffinées, mais non chimiquement modifiées: Huiles de navette ou de colza à faible teneur en acide érucique et leurs fractions: Huiles brutes: autres</t>
  </si>
  <si>
    <t>CHAPITRE 15 - GRAISSES ET HUILES ANIMALES OU VÉGÉTALES; PRODUITS DE LEUR DISSOCIATION; GRAISSES ALIMENTAIRES ÉLABORÉES; CIRES D'ORIGINE ANIMALE OU VÉGÉTALE: Huiles de navette, de colza ou de moutarde et leurs fractions, même raffinées, mais non chimiquement modifiées: Huiles de navette ou de colza à faible teneur en acide érucique et leurs fractions: Huiles brutes: autres</t>
  </si>
  <si>
    <t>CHAPITRE 15 - GRAISSES ET HUILES ANIMALES, VÉGÉTALES OU D’ORIGINE MICROBIENNE ET PRODUITS DE LEUR DISSOCIATION; GRAISSES ALIMENTAIRES ÉLABORÉES; CIRES D'ORIGINE ANIMALE OU VÉGÉTALE: Huiles de navette, de colza ou de moutarde et leurs fractions, même raffinées, mais non chimiquement modifiées: Huiles de navette ou de colza à faible teneur en acide érucique et leurs fractions: autres: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</si>
  <si>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Huiles de navette, de colza ou de moutarde et leurs fractions, même raffinées, mais non chimiquement modifiées: Huiles de navette ou de colza à faible teneur en acide érucique et leurs fractions: autres: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</si>
  <si>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Huiles de navette, de colza ou de moutarde et leurs fractions, même raffinées, mais non chimiquement modifiées: Huiles de navette ou de colza à faible teneur en acide érucique et leurs fractions: autres: autres</t>
  </si>
  <si>
    <t>CHAPITRE 15 - GRAISSES ET HUILES ANIMALES OU VÉGÉTALES; PRODUITS DE LEUR DISSOCIATION; GRAISSES ALIMENTAIRES ÉLABORÉES; CIRES D'ORIGINE ANIMALE OU VÉGÉTALE: Huiles de navette, de colza ou de moutarde et leurs fractions, même raffinées, mais non chimiquement modifiées: Huiles de navette ou de colza à faible teneur en acide érucique et leurs fractions: autres: autres</t>
  </si>
  <si>
    <t>CHAPITRE 15 - GRAISSES ET HUILES ANIMALES, VÉGÉTALES OU D’ORIGINE MICROBIENNE ET PRODUITS DE LEUR DISSOCIATION; GRAISSES ALIMENTAIRES ÉLABORÉES; CIRES D'ORIGINE ANIMALE OU VÉGÉTALE: Huiles de navette, de colza ou de moutarde et leurs fractions, même raffinées, mais non chimiquement modifiées: autres: Huiles brutes: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</si>
  <si>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Huiles de navette, de colza ou de moutarde et leurs fractions, même raffinées, mais non chimiquement modifiées: autres: Huiles brutes: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</si>
  <si>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Huiles de navette, de colza ou de moutarde et leurs fractions, même raffinées, mais non chimiquement modifiées: autres: Huiles brutes: autres</t>
  </si>
  <si>
    <t>CHAPITRE 15 - GRAISSES ET HUILES ANIMALES OU VÉGÉTALES; PRODUITS DE LEUR DISSOCIATION; GRAISSES ALIMENTAIRES ÉLABORÉES; CIRES D'ORIGINE ANIMALE OU VÉGÉTALE: Huiles de navette, de colza ou de moutarde et leurs fractions, même raffinées, mais non chimiquement modifiées: autres: Huiles brutes: autres</t>
  </si>
  <si>
    <t>CHAPITRE 15 - GRAISSES ET HUILES ANIMALES, VÉGÉTALES OU D’ORIGINE MICROBIENNE ET PRODUITS DE LEUR DISSOCIATION; GRAISSES ALIMENTAIRES ÉLABORÉES; CIRES D'ORIGINE ANIMALE OU VÉGÉTALE: Huiles de navette, de colza ou de moutarde et leurs fractions, même raffinées, mais non chimiquement modifiées: autres: autres: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</si>
  <si>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Huiles de navette, de colza ou de moutarde et leurs fractions, même raffinées, mais non chimiquement modifiées: autres: autres: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</si>
  <si>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Huiles de navette, de colza ou de moutarde et leurs fractions, même raffinées, mais non chimiquement modifiées: autres: autres: autres</t>
  </si>
  <si>
    <t>CHAPITRE 15 - GRAISSES ET HUILES ANIMALES OU VÉGÉTALES; PRODUITS DE LEUR DISSOCIATION; GRAISSES ALIMENTAIRES ÉLABORÉES; CIRES D'ORIGINE ANIMALE OU VÉGÉTALE: Huiles de navette, de colza ou de moutarde et leurs fractions, même raffinées, mais non chimiquement modifiées: autres: autres: autres</t>
  </si>
  <si>
    <t>Huile brute</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</si>
  <si>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Huile de lin et ses fractions: Huile brute</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</si>
  <si>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Huile de lin et ses fractions: Huile brute</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</si>
  <si>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Huile de lin et ses fractions: autres: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</si>
  <si>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Huile de lin et ses fractions: autres: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</si>
  <si>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Huile de lin et ses fractions: autres: autres</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</si>
  <si>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Huile de lin et ses fractions: autres: autres</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</si>
  <si>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Huile de maïs et ses fractions: Huile brute: destinée à des usages techniques ou industriels autres que la fabrication de produits pour l'alimentation humaine</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</si>
  <si>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Huile de maïs et ses fractions: Huile brute: destinée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</si>
  <si>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Huile de maïs et ses fractions: Huile brute: autre</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</si>
  <si>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Huile de maïs et ses fractions: Huile brute: autre</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</si>
  <si>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Huile de maïs et ses fractions: autres: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</si>
  <si>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Huile de maïs et ses fractions: autres: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</si>
  <si>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Huile de maïs et ses fractions: autres: autres</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</si>
  <si>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Huile de maïs et ses fractions: autres: autres</t>
  </si>
  <si>
    <t>destinées à la production de l'acide amino-undécanoïque pour la fabrication soit de fibres synthétiques, soit de matières plastiques</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</si>
  <si>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Huile de ricin et ses fractions: destinées à la production de l'acide amino-undécanoïque pour la fabrication soit de fibres synthétiques, soit de matières plastiques</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</si>
  <si>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Huile de ricin et ses fractions: destinées à la production de l'acide amino-undécanoïque pour la fabrication soit de fibres synthétiques, soit de matières plastiques</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</si>
  <si>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Huile de ricin et ses fractions: autres</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</si>
  <si>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Huile de ricin et ses fractions: autres</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</si>
  <si>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Huile de sésame et ses fractions: Huile brute: destinée à des usages techniques ou industriels autres que la fabrication de produits pour l'alimentation humaine</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</si>
  <si>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Huile de sésame et ses fractions: Huile brute: destinée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</si>
  <si>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Huile de sésame et ses fractions: Huile brute: autre</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</si>
  <si>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Huile de sésame et ses fractions: Huile brute: autre</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</si>
  <si>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Huile de sésame et ses fractions: autres: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</si>
  <si>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Huile de sésame et ses fractions: autres: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</si>
  <si>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Huile de sésame et ses fractions: autres: autres</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</si>
  <si>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Huile de sésame et ses fractions: autres: autres</t>
  </si>
  <si>
    <t>Huile de tung (d'abrasin); huiles de jojoba, d'oïticica; cire de myrica, cire du Japon; leurs fractions</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</si>
  <si>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autres: Huile de tung (d'abrasin); huiles de jojoba, d'oïticica; cire de myrica, cire du Japon; leurs fractions</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</si>
  <si>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autres: Huile de tung (d'abrasin); huiles de jojoba, d'oïticica; cire de myrica, cire du Japon; leurs fractions</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</si>
  <si>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autres: Huile de graines de tabac et ses fractions: Huile brute: destinée à des usages techniques ou industriels autres que la fabrication de produits pour l'alimentation humaine</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</si>
  <si>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autres: Huile de graines de tabac et ses fractions: Huile brute: destinée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</si>
  <si>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autres: Huile de graines de tabac et ses fractions: Huile brute: autre</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</si>
  <si>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autres: Huile de graines de tabac et ses fractions: Huile brute: autre</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</si>
  <si>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autres: Huile de graines de tabac et ses fractions: autres: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</si>
  <si>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autres: Huile de graines de tabac et ses fractions: autres: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</si>
  <si>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autres: Huile de graines de tabac et ses fractions: autres: autres</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</si>
  <si>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autres: Huile de graines de tabac et ses fractions: autres: autres</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</si>
  <si>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autres: autres huiles et leurs fractions: Huiles brutes: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</si>
  <si>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autres: autres huiles et leurs fractions: Huiles brutes: destinées à des usages techniques ou industriels autres que la fabrication de produits pour l'alimentation humaine</t>
  </si>
  <si>
    <t>concrètes, présentées en emballages immédiats d'un contenu net de 1 kg ou moins</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</si>
  <si>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autres: autres huiles et leurs fractions: Huiles brutes: autres: concrètes, présentées en emballages immédiats d'un contenu net de 1 kg ou moins</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</si>
  <si>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autres: autres huiles et leurs fractions: Huiles brutes: autres: concrètes, présentées en emballages immédiats d'un contenu net de 1 kg ou moins</t>
  </si>
  <si>
    <t>concrètes, autrement présentées; fluides</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</si>
  <si>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autres: autres huiles et leurs fractions: Huiles brutes: autres: concrètes, autrement présentées; fluides</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</si>
  <si>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autres: autres huiles et leurs fractions: Huiles brutes: autres: concrètes, autrement présentées; fluides</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</si>
  <si>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autres: autres huiles et leurs fractions: autres: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</si>
  <si>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autres: autres huiles et leurs fractions: autres: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</si>
  <si>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autres: autres huiles et leurs fractions: autres: autres: concrètes, présentées en emballages immédiats d'un contenu net de 1 kg ou moins</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</si>
  <si>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autres: autres huiles et leurs fractions: autres: autres: concrètes, présentées en emballages immédiats d'un contenu net de 1 kg ou moins</t>
  </si>
  <si>
    <t>CHAPITRE 15 - GRAISSES ET HUILES ANIMALES, VÉGÉTALES OU D’ORIGINE MICROBIENNE ET PRODUITS DE LEUR DISSOCIATION; GRAISSES ALIMENTAIRES ÉLABORÉES; CIRES D'ORIGINE ANIMALE OU VÉGÉTALE: Autres graisses et huiles végétales ou d’origine microbienne (y compris l'huile de jojoba) et leurs fractions, fixes, même raffinées, mais non chimiquement modifié: autres: autres huiles et leurs fractions: autres: autres: concrètes, autrement présentées; fluides</t>
  </si>
  <si>
    <t>CHAPITRE 15 - GRAISSES ET HUILES ANIMALES OU VÉGÉTALES; PRODUITS DE LEUR DISSOCIATION; GRAISSES ALIMENTAIRES ÉLABORÉES; CIRES D'ORIGINE ANIMALE OU VÉGÉTALE: Autres graisses et huiles végétales (y compris l'huile de jojoba) et leurs fractions, fixes, même raffinées, mais non chimiquement modifiées: autres: autres huiles et leurs fractions: autres: autres: concrètes, autrement présentées; fluides</t>
  </si>
  <si>
    <t>CHAPITRE 15 - GRAISSES ET HUILES ANIMALES, VÉGÉTALES OU D’ORIGINE MICROBIENNE ET PRODUITS DE LEUR DISSOCIATION; GRAISSES ALIMENTAIRES ÉLABORÉES; CIRES D'ORIGINE ANIMALE OU VÉGÉTALE: Graisses et huiles animales, végétales ou d’origine microbienne et leurs fractions, partiellement ou totalement hydrogénées, interestérifiées, réestérifiées ou élaïdinisées, même raffinées, mais non autrement préparées: Graisses et huiles animales et leurs fractions: présentées en emballages immédiats d'un contenu net de 1 kg ou moins</t>
  </si>
  <si>
    <t>CHAPITRE 15 - GRAISSES ET HUILES ANIMALES OU VÉGÉTALES; PRODUITS DE LEUR DISSOCIATION; GRAISSES ALIMENTAIRES ÉLABORÉES; CIRES D'ORIGINE ANIMALE OU VÉGÉTALE: Graisses et huiles animales ou végétales et leurs fractions, partiellement ou totalement hydrogénées, interestérifiées, réestérifiées ou élaïdinisées, même raffinées, mais non autrement préparées: Graisses et huiles animales et leurs fractions: présentées en emballages immédiats d'un contenu net de 1 kg ou moins</t>
  </si>
  <si>
    <t>CHAPITRE 15 - GRAISSES ET HUILES ANIMALES, VÉGÉTALES OU D’ORIGINE MICROBIENNE ET PRODUITS DE LEUR DISSOCIATION; GRAISSES ALIMENTAIRES ÉLABORÉES; CIRES D'ORIGINE ANIMALE OU VÉGÉTALE: Graisses et huiles animales, végétales ou d’origine microbienne et leurs fractions, partiellement ou totalement hydrogénées, interestérifiées, réestérifiées ou élaïdinisées, même raffinées, mais non autrement préparées: Graisses et huiles animales et leurs fractions: autrement présentées</t>
  </si>
  <si>
    <t>CHAPITRE 15 - GRAISSES ET HUILES ANIMALES OU VÉGÉTALES; PRODUITS DE LEUR DISSOCIATION; GRAISSES ALIMENTAIRES ÉLABORÉES; CIRES D'ORIGINE ANIMALE OU VÉGÉTALE: Graisses et huiles animales ou végétales et leurs fractions, partiellement ou totalement hydrogénées, interestérifiées, réestérifiées ou élaïdinisées, même raffinées, mais non autrement préparées: Graisses et huiles animales et leurs fractions: autrement présentées</t>
  </si>
  <si>
    <t>Huiles de ricin hydrogénées, dites « opalwax »</t>
  </si>
  <si>
    <t>CHAPITRE 15 - GRAISSES ET HUILES ANIMALES, VÉGÉTALES OU D’ORIGINE MICROBIENNE ET PRODUITS DE LEUR DISSOCIATION; GRAISSES ALIMENTAIRES ÉLABORÉES; CIRES D'ORIGINE ANIMALE OU VÉGÉTALE: Graisses et huiles animales, végétales ou d’origine microbienne et leurs fractions, partiellement ou totalement hydrogénées, interestérifiées, réestérifiées ou élaïdinisées, même raffinées, mais non autrement préparées: Graisses et huiles végétales et leurs fractions: Huiles de ricin hydrogénées, dites « opalwax »</t>
  </si>
  <si>
    <t>CHAPITRE 15 - GRAISSES ET HUILES ANIMALES OU VÉGÉTALES; PRODUITS DE LEUR DISSOCIATION; GRAISSES ALIMENTAIRES ÉLABORÉES; CIRES D'ORIGINE ANIMALE OU VÉGÉTALE: Graisses et huiles animales ou végétales et leurs fractions, partiellement ou totalement hydrogénées, interestérifiées, réestérifiées ou élaïdinisées, même raffinées, mais non autrement préparées: Graisses et huiles végétales et leurs fractions: Huiles de ricin hydrogénées, dites « opalwax »</t>
  </si>
  <si>
    <t>CHAPITRE 15 - GRAISSES ET HUILES ANIMALES, VÉGÉTALES OU D’ORIGINE MICROBIENNE ET PRODUITS DE LEUR DISSOCIATION; GRAISSES ALIMENTAIRES ÉLABORÉES; CIRES D'ORIGINE ANIMALE OU VÉGÉTALE: Graisses et huiles animales, végétales ou d’origine microbienne et leurs fractions, partiellement ou totalement hydrogénées, interestérifiées, réestérifiées ou élaïdinisées, même raffinées, mais non autrement préparées: Graisses et huiles végétales et leurs fractions: autres: présentées en emballages immédiats d'un contenu net de 1 kg ou moins</t>
  </si>
  <si>
    <t>CHAPITRE 15 - GRAISSES ET HUILES ANIMALES OU VÉGÉTALES; PRODUITS DE LEUR DISSOCIATION; GRAISSES ALIMENTAIRES ÉLABORÉES; CIRES D'ORIGINE ANIMALE OU VÉGÉTALE: Graisses et huiles animales ou végétales et leurs fractions, partiellement ou totalement hydrogénées, interestérifiées, réestérifiées ou élaïdinisées, même raffinées, mais non autrement préparées: Graisses et huiles végétales et leurs fractions: autres: présentées en emballages immédiats d'un contenu net de 1 kg ou moins</t>
  </si>
  <si>
    <t>Huiles de navette, de colza, de lin, de tournesol, d'illipé, de karité, de makoré, de touloucouna ou de babassu, destinées à des usages techniques ou industriels autres que la fabrication de produits pour l'alimentation humaine</t>
  </si>
  <si>
    <t>CHAPITRE 15 - GRAISSES ET HUILES ANIMALES, VÉGÉTALES OU D’ORIGINE MICROBIENNE ET PRODUITS DE LEUR DISSOCIATION; GRAISSES ALIMENTAIRES ÉLABORÉES; CIRES D'ORIGINE ANIMALE OU VÉGÉTALE: Graisses et huiles animales, végétales ou d’origine microbienne et leurs fractions, partiellement ou totalement hydrogénées, interestérifiées, réestérifiées ou élaïdinisées, même raffinées, mais non autrement préparées: Graisses et huiles végétales et leurs fractions: autres: autrement présentées: Huiles de navette, de colza, de lin, de tournesol, d'illipé, de karité, de makoré, de touloucouna ou de babassu, destinées à des usages techniques ou industriels autres que la fabrication de produits pour l'alimentation humaine</t>
  </si>
  <si>
    <t>CHAPITRE 15 - GRAISSES ET HUILES ANIMALES OU VÉGÉTALES; PRODUITS DE LEUR DISSOCIATION; GRAISSES ALIMENTAIRES ÉLABORÉES; CIRES D'ORIGINE ANIMALE OU VÉGÉTALE: Graisses et huiles animales ou végétales et leurs fractions, partiellement ou totalement hydrogénées, interestérifiées, réestérifiées ou élaïdinisées, même raffinées, mais non autrement préparées: Graisses et huiles végétales et leurs fractions: autres: autrement présentées: Huiles de navette, de colza, de lin, de tournesol, d'illipé, de karité, de makoré, de touloucouna ou de babassu, destinées à des usages techniques ou industriels autres que la fabrication de produits pour l'alimentation humaine</t>
  </si>
  <si>
    <t>Huiles d'arachide, de coton, de soja ou de tournesol; autres huiles d'une teneur en acides gras libres de moins de 50 % en poids et à l'exclusion des huiles de palmiste, d'illipé, de coco, de navette, de colza ou de copaïba</t>
  </si>
  <si>
    <t>CHAPITRE 15 - GRAISSES ET HUILES ANIMALES, VÉGÉTALES OU D’ORIGINE MICROBIENNE ET PRODUITS DE LEUR DISSOCIATION; GRAISSES ALIMENTAIRES ÉLABORÉES; CIRES D'ORIGINE ANIMALE OU VÉGÉTALE: Graisses et huiles animales, végétales ou d’origine microbienne et leurs fractions, partiellement ou totalement hydrogénées, interestérifiées, réestérifiées ou élaïdinisées, même raffinées, mais non autrement préparées: Graisses et huiles végétales et leurs fractions: autres: autrement présentées: autres: Huiles d'arachide, de coton, de soja ou de tournesol; autres huiles d'une teneur en acides gras libres de moins de 50 % en poids et à l'exclusion des huiles de palmiste, d'illipé, de coco, de navette, de colza ou de copaïba</t>
  </si>
  <si>
    <t>CHAPITRE 15 - GRAISSES ET HUILES ANIMALES OU VÉGÉTALES; PRODUITS DE LEUR DISSOCIATION; GRAISSES ALIMENTAIRES ÉLABORÉES; CIRES D'ORIGINE ANIMALE OU VÉGÉTALE: Graisses et huiles animales ou végétales et leurs fractions, partiellement ou totalement hydrogénées, interestérifiées, réestérifiées ou élaïdinisées, même raffinées, mais non autrement préparées: Graisses et huiles végétales et leurs fractions: autres: autrement présentées: autres: Huiles d'arachide, de coton, de soja ou de tournesol; autres huiles d'une teneur en acides gras libres de moins de 50 % en poids et à l'exclusion des huiles de palmiste, d'illipé, de coco, de navette, de colza ou de copaïba</t>
  </si>
  <si>
    <t>CHAPITRE 15 - GRAISSES ET HUILES ANIMALES, VÉGÉTALES OU D’ORIGINE MICROBIENNE ET PRODUITS DE LEUR DISSOCIATION; GRAISSES ALIMENTAIRES ÉLABORÉES; CIRES D'ORIGINE ANIMALE OU VÉGÉTALE: Graisses et huiles animales, végétales ou d’origine microbienne et leurs fractions, partiellement ou totalement hydrogénées, interestérifiées, réestérifiées ou élaïdinisées, même raffinées, mais non autrement préparées: Graisses et huiles végétales et leurs fractions: autres: autrement présentées: autres: autres</t>
  </si>
  <si>
    <t>CHAPITRE 15 - GRAISSES ET HUILES ANIMALES OU VÉGÉTALES; PRODUITS DE LEUR DISSOCIATION; GRAISSES ALIMENTAIRES ÉLABORÉES; CIRES D'ORIGINE ANIMALE OU VÉGÉTALE: Graisses et huiles animales ou végétales et leurs fractions, partiellement ou totalement hydrogénées, interestérifiées, réestérifiées ou élaïdinisées, même raffinées, mais non autrement préparées: Graisses et huiles végétales et leurs fractions: autres: autrement présentées: autres: autres</t>
  </si>
  <si>
    <t>d'une teneur en poids de matières grasses provenant du lait excédant 10 % mais n'excédant pas 15 %</t>
  </si>
  <si>
    <t>CHAPITRE 15 - GRAISSES ET HUILES ANIMALES, VÉGÉTALES OU D’ORIGINE MICROBIENNE ET PRODUITS DE LEUR DISSOCIATION; GRAISSES ALIMENTAIRES ÉLABORÉES; CIRES D'ORIGINE ANIMALE OU VÉGÉTALE: Margarine; mélanges ou préparations alimentaires de graisses ou d'huiles animales, végétales ou d’origine microbienne ou de fractions de différentes graisses ou huiles du présent chapitre, autres que les graisses et huiles alimentaires et leurs fractions du no 1516: Margarine, à l'exclusion de la margarine liquide: d'une teneur en poids de matières grasses provenant du lait excédant 10 % mais n'excédant pas 15 %</t>
  </si>
  <si>
    <t>CHAPITRE 15 - GRAISSES ET HUILES ANIMALES OU VÉGÉTALES; PRODUITS DE LEUR DISSOCIATION; GRAISSES ALIMENTAIRES ÉLABORÉES; CIRES D'ORIGINE ANIMALE OU VÉGÉTALE: Margarine; mélanges ou préparations alimentaires de graisses ou d'huiles animales ou végétales ou de fractions de différentes graisses ou huiles du présent chapitre, autres que les graisses et huiles alimentaires et leurs fractions du no 1516: Margarine, à l'exclusion de la margarine liquide: d'une teneur en poids de matières grasses provenant du lait excédant 10 % mais n'excédant pas 15 %</t>
  </si>
  <si>
    <t>CHAPITRE 15 - GRAISSES ET HUILES ANIMALES, VÉGÉTALES OU D’ORIGINE MICROBIENNE ET PRODUITS DE LEUR DISSOCIATION; GRAISSES ALIMENTAIRES ÉLABORÉES; CIRES D'ORIGINE ANIMALE OU VÉGÉTALE: Margarine; mélanges ou préparations alimentaires de graisses ou d'huiles animales, végétales ou d’origine microbienne ou de fractions de différentes graisses ou huiles du présent chapitre, autres que les graisses et huiles alimentaires et leurs fractions du no 1516: Margarine, à l'exclusion de la margarine liquide: autre</t>
  </si>
  <si>
    <t>CHAPITRE 15 - GRAISSES ET HUILES ANIMALES OU VÉGÉTALES; PRODUITS DE LEUR DISSOCIATION; GRAISSES ALIMENTAIRES ÉLABORÉES; CIRES D'ORIGINE ANIMALE OU VÉGÉTALE: Margarine; mélanges ou préparations alimentaires de graisses ou d'huiles animales ou végétales ou de fractions de différentes graisses ou huiles du présent chapitre, autres que les graisses et huiles alimentaires et leurs fractions du no 1516: Margarine, à l'exclusion de la margarine liquide: autre</t>
  </si>
  <si>
    <t>CHAPITRE 15 - GRAISSES ET HUILES ANIMALES, VÉGÉTALES OU D’ORIGINE MICROBIENNE ET PRODUITS DE LEUR DISSOCIATION; GRAISSES ALIMENTAIRES ÉLABORÉES; CIRES D'ORIGINE ANIMALE OU VÉGÉTALE: Margarine; mélanges ou préparations alimentaires de graisses ou d'huiles animales, végétales ou d’origine microbienne ou de fractions de différentes graisses ou huiles du présent chapitre, autres que les graisses et huiles alimentaires et leurs fractions du no 1516: autres: d'une teneur en poids de matières grasses provenant du lait excédant 10 % mais n'excédant pas 15 %</t>
  </si>
  <si>
    <t>CHAPITRE 15 - GRAISSES ET HUILES ANIMALES OU VÉGÉTALES; PRODUITS DE LEUR DISSOCIATION; GRAISSES ALIMENTAIRES ÉLABORÉES; CIRES D'ORIGINE ANIMALE OU VÉGÉTALE: Margarine; mélanges ou préparations alimentaires de graisses ou d'huiles animales ou végétales ou de fractions de différentes graisses ou huiles du présent chapitre, autres que les graisses et huiles alimentaires et leurs fractions du no 1516: autres: d'une teneur en poids de matières grasses provenant du lait excédant 10 % mais n'excédant pas 15 %</t>
  </si>
  <si>
    <t>Huiles végétales fixes, fluides, mélangées</t>
  </si>
  <si>
    <t>CHAPITRE 15 - GRAISSES ET HUILES ANIMALES, VÉGÉTALES OU D’ORIGINE MICROBIENNE ET PRODUITS DE LEUR DISSOCIATION; GRAISSES ALIMENTAIRES ÉLABORÉES; CIRES D'ORIGINE ANIMALE OU VÉGÉTALE: Margarine; mélanges ou préparations alimentaires de graisses ou d'huiles animales, végétales ou d’origine microbienne ou de fractions de différentes graisses ou huiles du présent chapitre, autres que les graisses et huiles alimentaires et leurs fractions du no 1516: autres: autres: Huiles végétales fixes, fluides, mélangées</t>
  </si>
  <si>
    <t>CHAPITRE 15 - GRAISSES ET HUILES ANIMALES OU VÉGÉTALES; PRODUITS DE LEUR DISSOCIATION; GRAISSES ALIMENTAIRES ÉLABORÉES; CIRES D'ORIGINE ANIMALE OU VÉGÉTALE: Margarine; mélanges ou préparations alimentaires de graisses ou d'huiles animales ou végétales ou de fractions de différentes graisses ou huiles du présent chapitre, autres que les graisses et huiles alimentaires et leurs fractions du no 1516: autres: autres: Huiles végétales fixes, fluides, mélangées</t>
  </si>
  <si>
    <t>Mélanges ou préparations culinaires utilisés pour le démoulage</t>
  </si>
  <si>
    <t>CHAPITRE 15 - GRAISSES ET HUILES ANIMALES, VÉGÉTALES OU D’ORIGINE MICROBIENNE ET PRODUITS DE LEUR DISSOCIATION; GRAISSES ALIMENTAIRES ÉLABORÉES; CIRES D'ORIGINE ANIMALE OU VÉGÉTALE: Margarine; mélanges ou préparations alimentaires de graisses ou d'huiles animales, végétales ou d’origine microbienne ou de fractions de différentes graisses ou huiles du présent chapitre, autres que les graisses et huiles alimentaires et leurs fractions du no 1516: autres: autres: Mélanges ou préparations culinaires utilisés pour le démoulage</t>
  </si>
  <si>
    <t>CHAPITRE 15 - GRAISSES ET HUILES ANIMALES OU VÉGÉTALES; PRODUITS DE LEUR DISSOCIATION; GRAISSES ALIMENTAIRES ÉLABORÉES; CIRES D'ORIGINE ANIMALE OU VÉGÉTALE: Margarine; mélanges ou préparations alimentaires de graisses ou d'huiles animales ou végétales ou de fractions de différentes graisses ou huiles du présent chapitre, autres que les graisses et huiles alimentaires et leurs fractions du no 1516: autres: autres: Mélanges ou préparations culinaires utilisés pour le démoulage</t>
  </si>
  <si>
    <t>CHAPITRE 15 - GRAISSES ET HUILES ANIMALES, VÉGÉTALES OU D’ORIGINE MICROBIENNE ET PRODUITS DE LEUR DISSOCIATION; GRAISSES ALIMENTAIRES ÉLABORÉES; CIRES D'ORIGINE ANIMALE OU VÉGÉTALE: Margarine; mélanges ou préparations alimentaires de graisses ou d'huiles animales, végétales ou d’origine microbienne ou de fractions de différentes graisses ou huiles du présent chapitre, autres que les graisses et huiles alimentaires et leurs fractions du no 1516: autres: autres: autres</t>
  </si>
  <si>
    <t>CHAPITRE 15 - GRAISSES ET HUILES ANIMALES OU VÉGÉTALES; PRODUITS DE LEUR DISSOCIATION; GRAISSES ALIMENTAIRES ÉLABORÉES; CIRES D'ORIGINE ANIMALE OU VÉGÉTALE: Margarine; mélanges ou préparations alimentaires de graisses ou d'huiles animales ou végétales ou de fractions de différentes graisses ou huiles du présent chapitre, autres que les graisses et huiles alimentaires et leurs fractions du no 1516: autres: autres: autres</t>
  </si>
  <si>
    <t>Linoxyne</t>
  </si>
  <si>
    <t>CHAPITRE 15 - GRAISSES ET HUILES ANIMALES, VÉGÉTALES OU D’ORIGINE MICROBIENNE ET PRODUITS DE LEUR DISSOCIATION; GRAISSES ALIMENTAIRES ÉLABORÉES; CIRES D'ORIGINE ANIMALE OU VÉGÉTALE: Graisses et huiles animales, végétales ou d’origine microbienne et leurs fractions, cuites, oxydées, déshydratées, sulfurées, soufflées, standolisées ou autrement modifiées chimiquement, à l'exclusion de celles du no 1516; mélanges ou préparations non alimentaires de graisses ou d'huiles animales, végétales ou d’origine microbienne ou de fractions de différentes graisses ou huiles du présent chapitre, non dénommés ni compris ailleurs: Linoxyne</t>
  </si>
  <si>
    <t>CHAPITRE 15 - GRAISSES ET HUILES ANIMALES OU VÉGÉTALES; PRODUITS DE LEUR DISSOCIATION; GRAISSES ALIMENTAIRES ÉLABORÉES; CIRES D'ORIGINE ANIMALE OU VÉGÉTALE: Graisses et huiles animales ou végétales et leurs fractions, cuites, oxydées, déshydratées, sulfurées, soufflées, standolisées ou autrement modifiées chimiquement, à l'exclusion de celles du no 1516; mélanges ou préparations non alimentaires de graisses ou d'huiles animales ou végétales ou de fractions de différentes graisses ou huiles du présent chapitre, non dénommés ni compris ailleurs: Linoxyne</t>
  </si>
  <si>
    <t>brutes</t>
  </si>
  <si>
    <t>CHAPITRE 15 - GRAISSES ET HUILES ANIMALES, VÉGÉTALES OU D’ORIGINE MICROBIENNE ET PRODUITS DE LEUR DISSOCIATION; GRAISSES ALIMENTAIRES ÉLABORÉES; CIRES D'ORIGINE ANIMALE OU VÉGÉTALE: Graisses et huiles animales, végétales ou d’origine microbienne et leurs fractions, cuites, oxydées, déshydratées, sulfurées, soufflées, standolisées ou autrement modifiées chimiquement, à l'exclusion de celles du no 1516; mélanges ou préparations non alimentaires de graisses ou d'huiles animales, végétales ou d’origine microbienne ou de fractions de différentes graisses ou huiles du présent chapitre, non dénommés ni compris ailleurs: Huiles végétales fixes, fluides, mélangées, destinées à des usages techniques ou industriels autres que la fabrication de produits pour l'alimentation humaine: brutes</t>
  </si>
  <si>
    <t>CHAPITRE 15 - GRAISSES ET HUILES ANIMALES OU VÉGÉTALES; PRODUITS DE LEUR DISSOCIATION; GRAISSES ALIMENTAIRES ÉLABORÉES; CIRES D'ORIGINE ANIMALE OU VÉGÉTALE: Graisses et huiles animales ou végétales et leurs fractions, cuites, oxydées, déshydratées, sulfurées, soufflées, standolisées ou autrement modifiées chimiquement, à l'exclusion de celles du no 1516; mélanges ou préparations non alimentaires de graisses ou d'huiles animales ou végétales ou de fractions de différentes graisses ou huiles du présent chapitre, non dénommés ni compris ailleurs: Huiles végétales fixes, fluides, mélangées, destinées à des usages techniques ou industriels autres que la fabrication de produits pour l'alimentation humaine: brutes</t>
  </si>
  <si>
    <t>CHAPITRE 15 - GRAISSES ET HUILES ANIMALES, VÉGÉTALES OU D’ORIGINE MICROBIENNE ET PRODUITS DE LEUR DISSOCIATION; GRAISSES ALIMENTAIRES ÉLABORÉES; CIRES D'ORIGINE ANIMALE OU VÉGÉTALE: Graisses et huiles animales, végétales ou d’origine microbienne et leurs fractions, cuites, oxydées, déshydratées, sulfurées, soufflées, standolisées ou autrement modifiées chimiquement, à l'exclusion de celles du no 1516; mélanges ou préparations non alimentaires de graisses ou d'huiles animales, végétales ou d’origine microbienne ou de fractions de différentes graisses ou huiles du présent chapitre, non dénommés ni compris ailleurs: Huiles végétales fixes, fluides, mélangées, destinées à des usages techniques ou industriels autres que la fabrication de produits pour l'alimentation humaine: autres</t>
  </si>
  <si>
    <t>CHAPITRE 15 - GRAISSES ET HUILES ANIMALES OU VÉGÉTALES; PRODUITS DE LEUR DISSOCIATION; GRAISSES ALIMENTAIRES ÉLABORÉES; CIRES D'ORIGINE ANIMALE OU VÉGÉTALE: Graisses et huiles animales ou végétales et leurs fractions, cuites, oxydées, déshydratées, sulfurées, soufflées, standolisées ou autrement modifiées chimiquement, à l'exclusion de celles du no 1516; mélanges ou préparations non alimentaires de graisses ou d'huiles animales ou végétales ou de fractions de différentes graisses ou huiles du présent chapitre, non dénommés ni compris ailleurs: Huiles végétales fixes, fluides, mélangées, destinées à des usages techniques ou industriels autres que la fabrication de produits pour l'alimentation humaine: autres</t>
  </si>
  <si>
    <t>Graisses et huiles animales, végétales ou d’origine microbienne et leurs fractions, cuites, oxydées, déshydratées, sulfurées, soufflées, standolisées ou autrement modifiées chimiquement, à l'exclusion de celles du no 1516</t>
  </si>
  <si>
    <t>Graisses et huiles animales ou végétales et leurs fractions, cuites, oxydées, déshydratées, sulfurées, soufflées, standolisées ou autrement modifiées chimiquement, à l'exclusion de celles du no 1516</t>
  </si>
  <si>
    <t>CHAPITRE 15 - GRAISSES ET HUILES ANIMALES, VÉGÉTALES OU D’ORIGINE MICROBIENNE ET PRODUITS DE LEUR DISSOCIATION; GRAISSES ALIMENTAIRES ÉLABORÉES; CIRES D'ORIGINE ANIMALE OU VÉGÉTALE: Graisses et huiles animales, végétales ou d’origine microbienne et leurs fractions, cuites, oxydées, déshydratées, sulfurées, soufflées, standolisées ou autrement modifiées chimiquement, à l'exclusion de celles du no 1516; mélanges ou préparations non alimentaires de graisses ou d'huiles animales, végétales ou d’origine microbienne ou de fractions de différentes graisses ou huiles du présent chapitre, non dénommés ni compris ailleurs: autres: Graisses et huiles animales, végétales ou d’origine microbienne et leurs fractions, cuites, oxydées, déshydratées, sulfurées, soufflées, standolisées ou autrement modifiées chimiquement, à l'exclusion de celles du no 1516</t>
  </si>
  <si>
    <t>CHAPITRE 15 - GRAISSES ET HUILES ANIMALES OU VÉGÉTALES; PRODUITS DE LEUR DISSOCIATION; GRAISSES ALIMENTAIRES ÉLABORÉES; CIRES D'ORIGINE ANIMALE OU VÉGÉTALE: Graisses et huiles animales ou végétales et leurs fractions, cuites, oxydées, déshydratées, sulfurées, soufflées, standolisées ou autrement modifiées chimiquement, à l'exclusion de celles du no 1516; mélanges ou préparations non alimentaires de graisses ou d'huiles animales ou végétales ou de fractions de différentes graisses ou huiles du présent chapitre, non dénommés ni compris ailleurs: autres: Graisses et huiles animales ou végétales et leurs fractions, cuites, oxydées, déshydratées, sulfurées, soufflées, standolisées ou autrement modifiées chimiquement, à l'exclusion de celles du no 1516</t>
  </si>
  <si>
    <t>Mélanges et préparations non alimentaires de graisses et d'huiles animales ou de graisses et d'huiles animales, végétales ou d’origine microbienne et leurs fractions</t>
  </si>
  <si>
    <t>Mélanges et préparations non alimentaires de graisses et d'huiles animales ou de graisses et d'huiles animales et végétales et leurs fractions</t>
  </si>
  <si>
    <t>CHAPITRE 15 - GRAISSES ET HUILES ANIMALES, VÉGÉTALES OU D’ORIGINE MICROBIENNE ET PRODUITS DE LEUR DISSOCIATION; GRAISSES ALIMENTAIRES ÉLABORÉES; CIRES D'ORIGINE ANIMALE OU VÉGÉTALE: Graisses et huiles animales, végétales ou d’origine microbienne et leurs fractions, cuites, oxydées, déshydratées, sulfurées, soufflées, standolisées ou autrement modifiées chimiquement, à l'exclusion de celles du no 1516; mélanges ou préparations non alimentaires de graisses ou d'huiles animales, végétales ou d’origine microbienne ou de fractions de différentes graisses ou huiles du présent chapitre, non dénommés ni compris ailleurs: autres: autres: Mélanges et préparations non alimentaires de graisses et d'huiles animales ou de graisses et d'huiles animales, végétales ou d’origine microbienne et leurs fractions</t>
  </si>
  <si>
    <t>CHAPITRE 15 - GRAISSES ET HUILES ANIMALES OU VÉGÉTALES; PRODUITS DE LEUR DISSOCIATION; GRAISSES ALIMENTAIRES ÉLABORÉES; CIRES D'ORIGINE ANIMALE OU VÉGÉTALE: Graisses et huiles animales ou végétales et leurs fractions, cuites, oxydées, déshydratées, sulfurées, soufflées, standolisées ou autrement modifiées chimiquement, à l'exclusion de celles du no 1516; mélanges ou préparations non alimentaires de graisses ou d'huiles animales ou végétales ou de fractions de différentes graisses ou huiles du présent chapitre, non dénommés ni compris ailleurs: autres: autres: Mélanges et préparations non alimentaires de graisses et d'huiles animales ou de graisses et d'huiles animales et végétales et leurs fractions</t>
  </si>
  <si>
    <t>CHAPITRE 15 - GRAISSES ET HUILES ANIMALES, VÉGÉTALES OU D’ORIGINE MICROBIENNE ET PRODUITS DE LEUR DISSOCIATION; GRAISSES ALIMENTAIRES ÉLABORÉES; CIRES D'ORIGINE ANIMALE OU VÉGÉTALE: Graisses et huiles animales, végétales ou d’origine microbienne et leurs fractions, cuites, oxydées, déshydratées, sulfurées, soufflées, standolisées ou autrement modifiées chimiquement, à l'exclusion de celles du no 1516; mélanges ou préparations non alimentaires de graisses ou d'huiles animales, végétales ou d’origine microbienne ou de fractions de différentes graisses ou huiles du présent chapitre, non dénommés ni compris ailleurs: autres: autres: autres</t>
  </si>
  <si>
    <t>CHAPITRE 15 - GRAISSES ET HUILES ANIMALES OU VÉGÉTALES; PRODUITS DE LEUR DISSOCIATION; GRAISSES ALIMENTAIRES ÉLABORÉES; CIRES D'ORIGINE ANIMALE OU VÉGÉTALE: Graisses et huiles animales ou végétales et leurs fractions, cuites, oxydées, déshydratées, sulfurées, soufflées, standolisées ou autrement modifiées chimiquement, à l'exclusion de celles du no 1516; mélanges ou préparations non alimentaires de graisses ou d'huiles animales ou végétales ou de fractions de différentes graisses ou huiles du présent chapitre, non dénommés ni compris ailleurs: autres: autres: autres</t>
  </si>
  <si>
    <t>Glycérol brut; eaux et lessives glycérineuses</t>
  </si>
  <si>
    <t>CHAPITRE 15 - GRAISSES ET HUILES ANIMALES, VÉGÉTALES OU D’ORIGINE MICROBIENNE ET PRODUITS DE LEUR DISSOCIATION; GRAISSES ALIMENTAIRES ÉLABORÉES; CIRES D'ORIGINE ANIMALE OU VÉGÉTALE: Glycérol brut; eaux et lessives glycérineuses</t>
  </si>
  <si>
    <t>CHAPITRE 15 - GRAISSES ET HUILES ANIMALES OU VÉGÉTALES; PRODUITS DE LEUR DISSOCIATION; GRAISSES ALIMENTAIRES ÉLABORÉES; CIRES D'ORIGINE ANIMALE OU VÉGÉTALE: Glycérol brut; eaux et lessives glycérineuses</t>
  </si>
  <si>
    <t>Cires végétales</t>
  </si>
  <si>
    <t>CHAPITRE 15 - GRAISSES ET HUILES ANIMALES, VÉGÉTALES OU D’ORIGINE MICROBIENNE ET PRODUITS DE LEUR DISSOCIATION; GRAISSES ALIMENTAIRES ÉLABORÉES; CIRES D'ORIGINE ANIMALE OU VÉGÉTALE: Cires végétales (autres que les triglycérides), cires d'abeilles ou d'autres insectes et spermaceti, même raffinés ou colorés: Cires végétales</t>
  </si>
  <si>
    <t>CHAPITRE 15 - GRAISSES ET HUILES ANIMALES OU VÉGÉTALES; PRODUITS DE LEUR DISSOCIATION; GRAISSES ALIMENTAIRES ÉLABORÉES; CIRES D'ORIGINE ANIMALE OU VÉGÉTALE: Cires végétales (autres que les triglycérides), cires d'abeilles ou d'autres insectes et spermaceti, même raffinés ou colorés: Cires végétales</t>
  </si>
  <si>
    <t>Spermaceti, même raffiné ou coloré</t>
  </si>
  <si>
    <t>CHAPITRE 15 - GRAISSES ET HUILES ANIMALES, VÉGÉTALES OU D’ORIGINE MICROBIENNE ET PRODUITS DE LEUR DISSOCIATION; GRAISSES ALIMENTAIRES ÉLABORÉES; CIRES D'ORIGINE ANIMALE OU VÉGÉTALE: Cires végétales (autres que les triglycérides), cires d'abeilles ou d'autres insectes et spermaceti, même raffinés ou colorés: autres: Spermaceti, même raffiné ou coloré</t>
  </si>
  <si>
    <t>CHAPITRE 15 - GRAISSES ET HUILES ANIMALES OU VÉGÉTALES; PRODUITS DE LEUR DISSOCIATION; GRAISSES ALIMENTAIRES ÉLABORÉES; CIRES D'ORIGINE ANIMALE OU VÉGÉTALE: Cires végétales (autres que les triglycérides), cires d'abeilles ou d'autres insectes et spermaceti, même raffinés ou colorés: autres: Spermaceti, même raffiné ou coloré</t>
  </si>
  <si>
    <t>CHAPITRE 15 - GRAISSES ET HUILES ANIMALES, VÉGÉTALES OU D’ORIGINE MICROBIENNE ET PRODUITS DE LEUR DISSOCIATION; GRAISSES ALIMENTAIRES ÉLABORÉES; CIRES D'ORIGINE ANIMALE OU VÉGÉTALE: Cires végétales (autres que les triglycérides), cires d'abeilles ou d'autres insectes et spermaceti, même raffinés ou colorés: autres: Cires d'abeilles ou d'autres insectes, même raffinées ou colorées: brutes</t>
  </si>
  <si>
    <t>CHAPITRE 15 - GRAISSES ET HUILES ANIMALES OU VÉGÉTALES; PRODUITS DE LEUR DISSOCIATION; GRAISSES ALIMENTAIRES ÉLABORÉES; CIRES D'ORIGINE ANIMALE OU VÉGÉTALE: Cires végétales (autres que les triglycérides), cires d'abeilles ou d'autres insectes et spermaceti, même raffinés ou colorés: autres: Cires d'abeilles ou d'autres insectes, même raffinées ou colorées: brutes</t>
  </si>
  <si>
    <t>CHAPITRE 15 - GRAISSES ET HUILES ANIMALES, VÉGÉTALES OU D’ORIGINE MICROBIENNE ET PRODUITS DE LEUR DISSOCIATION; GRAISSES ALIMENTAIRES ÉLABORÉES; CIRES D'ORIGINE ANIMALE OU VÉGÉTALE: Cires végétales (autres que les triglycérides), cires d'abeilles ou d'autres insectes et spermaceti, même raffinés ou colorés: autres: Cires d'abeilles ou d'autres insectes, même raffinées ou colorées: autres</t>
  </si>
  <si>
    <t>CHAPITRE 15 - GRAISSES ET HUILES ANIMALES OU VÉGÉTALES; PRODUITS DE LEUR DISSOCIATION; GRAISSES ALIMENTAIRES ÉLABORÉES; CIRES D'ORIGINE ANIMALE OU VÉGÉTALE: Cires végétales (autres que les triglycérides), cires d'abeilles ou d'autres insectes et spermaceti, même raffinés ou colorés: autres: Cires d'abeilles ou d'autres insectes, même raffinées ou colorées: autres</t>
  </si>
  <si>
    <t>Dégras</t>
  </si>
  <si>
    <t>CHAPITRE 15 - GRAISSES ET HUILES ANIMALES, VÉGÉTALES OU D’ORIGINE MICROBIENNE ET PRODUITS DE LEUR DISSOCIATION; GRAISSES ALIMENTAIRES ÉLABORÉES; CIRES D'ORIGINE ANIMALE OU VÉGÉTALE: Dégras; résidus provenant du traitement des corps gras ou des cires animales ou végétales: Dégras</t>
  </si>
  <si>
    <t>CHAPITRE 15 - GRAISSES ET HUILES ANIMALES OU VÉGÉTALES; PRODUITS DE LEUR DISSOCIATION; GRAISSES ALIMENTAIRES ÉLABORÉES; CIRES D'ORIGINE ANIMALE OU VÉGÉTALE: Dégras; résidus provenant du traitement des corps gras ou des cires animales ou végétales: Dégras</t>
  </si>
  <si>
    <t>Pâtes de neutralisation (soap-stocks)</t>
  </si>
  <si>
    <t>CHAPITRE 15 - GRAISSES ET HUILES ANIMALES, VÉGÉTALES OU D’ORIGINE MICROBIENNE ET PRODUITS DE LEUR DISSOCIATION; GRAISSES ALIMENTAIRES ÉLABORÉES; CIRES D'ORIGINE ANIMALE OU VÉGÉTALE: Dégras; résidus provenant du traitement des corps gras ou des cires animales ou végétales: Résidus provenant du traitement des corps gras ou des cires animales ou végétales: contenant de l'huile ayant les caractères de l'huile d'olive: Pâtes de neutralisation (soap-stocks)</t>
  </si>
  <si>
    <t>CHAPITRE 15 - GRAISSES ET HUILES ANIMALES OU VÉGÉTALES; PRODUITS DE LEUR DISSOCIATION; GRAISSES ALIMENTAIRES ÉLABORÉES; CIRES D'ORIGINE ANIMALE OU VÉGÉTALE: Dégras; résidus provenant du traitement des corps gras ou des cires animales ou végétales: Résidus provenant du traitement des corps gras ou des cires animales ou végétales: contenant de l'huile ayant les caractères de l'huile d'olive: Pâtes de neutralisation (soap-stocks)</t>
  </si>
  <si>
    <t>CHAPITRE 15 - GRAISSES ET HUILES ANIMALES, VÉGÉTALES OU D’ORIGINE MICROBIENNE ET PRODUITS DE LEUR DISSOCIATION; GRAISSES ALIMENTAIRES ÉLABORÉES; CIRES D'ORIGINE ANIMALE OU VÉGÉTALE: Dégras; résidus provenant du traitement des corps gras ou des cires animales ou végétales: Résidus provenant du traitement des corps gras ou des cires animales ou végétales: contenant de l'huile ayant les caractères de l'huile d'olive: autres</t>
  </si>
  <si>
    <t>CHAPITRE 15 - GRAISSES ET HUILES ANIMALES OU VÉGÉTALES; PRODUITS DE LEUR DISSOCIATION; GRAISSES ALIMENTAIRES ÉLABORÉES; CIRES D'ORIGINE ANIMALE OU VÉGÉTALE: Dégras; résidus provenant du traitement des corps gras ou des cires animales ou végétales: Résidus provenant du traitement des corps gras ou des cires animales ou végétales: contenant de l'huile ayant les caractères de l'huile d'olive: autres</t>
  </si>
  <si>
    <t>Lies ou fèces d'huiles, pâtes de neutralisation (soap-stocks)</t>
  </si>
  <si>
    <t>CHAPITRE 15 - GRAISSES ET HUILES ANIMALES, VÉGÉTALES OU D’ORIGINE MICROBIENNE ET PRODUITS DE LEUR DISSOCIATION; GRAISSES ALIMENTAIRES ÉLABORÉES; CIRES D'ORIGINE ANIMALE OU VÉGÉTALE: Dégras; résidus provenant du traitement des corps gras ou des cires animales ou végétales: Résidus provenant du traitement des corps gras ou des cires animales ou végétales: autres: Lies ou fèces d'huiles, pâtes de neutralisation (soap-stocks)</t>
  </si>
  <si>
    <t>CHAPITRE 15 - GRAISSES ET HUILES ANIMALES OU VÉGÉTALES; PRODUITS DE LEUR DISSOCIATION; GRAISSES ALIMENTAIRES ÉLABORÉES; CIRES D'ORIGINE ANIMALE OU VÉGÉTALE: Dégras; résidus provenant du traitement des corps gras ou des cires animales ou végétales: Résidus provenant du traitement des corps gras ou des cires animales ou végétales: autres: Lies ou fèces d'huiles, pâtes de neutralisation (soap-stocks)</t>
  </si>
  <si>
    <t>CHAPITRE 15 - GRAISSES ET HUILES ANIMALES, VÉGÉTALES OU D’ORIGINE MICROBIENNE ET PRODUITS DE LEUR DISSOCIATION; GRAISSES ALIMENTAIRES ÉLABORÉES; CIRES D'ORIGINE ANIMALE OU VÉGÉTALE: Dégras; résidus provenant du traitement des corps gras ou des cires animales ou végétales: Résidus provenant du traitement des corps gras ou des cires animales ou végétales: autres: autres</t>
  </si>
  <si>
    <t>CHAPITRE 15 - GRAISSES ET HUILES ANIMALES OU VÉGÉTALES; PRODUITS DE LEUR DISSOCIATION; GRAISSES ALIMENTAIRES ÉLABORÉES; CIRES D'ORIGINE ANIMALE OU VÉGÉTALE: Dégras; résidus provenant du traitement des corps gras ou des cires animales ou végétales: Résidus provenant du traitement des corps gras ou des cires animales ou végétales: autres: autres</t>
  </si>
  <si>
    <t>de foie</t>
  </si>
  <si>
    <t>CHAPITRE 16 - PRÉPARATIONS DE VIANDE, DE POISSONS, DE CRUSTACÉS, DE MOLLUSQUES, D’AUTRES INVERTÉBRÉS AQUATIQUES OU D’INSECTES: Saucisses, saucissons et produits similaires, de viande, d’abats, de sang ou d’insectes; préparations alimentaires à base de ces produits: de foie</t>
  </si>
  <si>
    <t>CHAPITRE 16 - PRÉPARATIONS DE VIANDE, DE POISSONS OU DE CRUSTACÉS, DE MOLLUSQUES OU D'AUTRES INVERTÉBRÉS AQUATIQUES: Saucisses, saucissons et produits similaires, de viande, d'abats ou de sang; préparations alimentaires à base de ces produits: de foie</t>
  </si>
  <si>
    <t>Saucisses et saucissons, secs ou à tartiner, non cuits</t>
  </si>
  <si>
    <t>CHAPITRE 16 - PRÉPARATIONS DE VIANDE, DE POISSONS, DE CRUSTACÉS, DE MOLLUSQUES, D’AUTRES INVERTÉBRÉS AQUATIQUES OU D’INSECTES: Saucisses, saucissons et produits similaires, de viande, d’abats, de sang ou d’insectes; préparations alimentaires à base de ces produits: autres: Saucisses et saucissons, secs ou à tartiner, non cuits</t>
  </si>
  <si>
    <t>CHAPITRE 16 - PRÉPARATIONS DE VIANDE, DE POISSONS OU DE CRUSTACÉS, DE MOLLUSQUES OU D'AUTRES INVERTÉBRÉS AQUATIQUES: Saucisses, saucissons et produits similaires, de viande, d'abats ou de sang; préparations alimentaires à base de ces produits: autres: Saucisses et saucissons, secs ou à tartiner, non cuits</t>
  </si>
  <si>
    <t>CHAPITRE 16 - PRÉPARATIONS DE VIANDE, DE POISSONS, DE CRUSTACÉS, DE MOLLUSQUES, D’AUTRES INVERTÉBRÉS AQUATIQUES OU D’INSECTES: Saucisses, saucissons et produits similaires, de viande, d’abats, de sang ou d’insectes; préparations alimentaires à base de ces produits: autres: autres</t>
  </si>
  <si>
    <t>CHAPITRE 16 - PRÉPARATIONS DE VIANDE, DE POISSONS OU DE CRUSTACÉS, DE MOLLUSQUES OU D'AUTRES INVERTÉBRÉS AQUATIQUES: Saucisses, saucissons et produits similaires, de viande, d'abats ou de sang; préparations alimentaires à base de ces produits: autres: autres</t>
  </si>
  <si>
    <t>Préparations homogénéisées</t>
  </si>
  <si>
    <t>CHAPITRE 16 - PRÉPARATIONS DE VIANDE, DE POISSONS, DE CRUSTACÉS, DE MOLLUSQUES, D’AUTRES INVERTÉBRÉS AQUATIQUES OU D’INSECTES: Autres preparations et conserves de viande, d’abats, de sang ou d’insectes: Préparations homogénéisées</t>
  </si>
  <si>
    <t>CHAPITRE 16 - PRÉPARATIONS DE VIANDE, DE POISSONS OU DE CRUSTACÉS, DE MOLLUSQUES OU D'AUTRES INVERTÉBRÉS AQUATIQUES: Autres préparations et conserves de viande, d'abats ou de sang: Préparations homogénéisées</t>
  </si>
  <si>
    <t>d'oie ou de canard</t>
  </si>
  <si>
    <t>CHAPITRE 16 - PRÉPARATIONS DE VIANDE, DE POISSONS, DE CRUSTACÉS, DE MOLLUSQUES, D’AUTRES INVERTÉBRÉS AQUATIQUES OU D’INSECTES: Autres preparations et conserves de viande, d’abats, de sang ou d’insectes: de foies de tous animaux: d'oie ou de canard</t>
  </si>
  <si>
    <t>CHAPITRE 16 - PRÉPARATIONS DE VIANDE, DE POISSONS OU DE CRUSTACÉS, DE MOLLUSQUES OU D'AUTRES INVERTÉBRÉS AQUATIQUES: Autres préparations et conserves de viande, d'abats ou de sang: de foies de tous animaux: d'oie ou de canard</t>
  </si>
  <si>
    <t>CHAPITRE 16 - PRÉPARATIONS DE VIANDE, DE POISSONS, DE CRUSTACÉS, DE MOLLUSQUES, D’AUTRES INVERTÉBRÉS AQUATIQUES OU D’INSECTES: Autres preparations et conserves de viande, d’abats, de sang ou d’insectes: de foies de tous animaux: autres</t>
  </si>
  <si>
    <t>CHAPITRE 16 - PRÉPARATIONS DE VIANDE, DE POISSONS OU DE CRUSTACÉS, DE MOLLUSQUES OU D'AUTRES INVERTÉBRÉS AQUATIQUES: Autres préparations et conserves de viande, d'abats ou de sang: de foies de tous animaux: autres</t>
  </si>
  <si>
    <t>contenant exclusivement de la viande de dinde non cuite</t>
  </si>
  <si>
    <t>CHAPITRE 16 - PRÉPARATIONS DE VIANDE, DE POISSONS, DE CRUSTACÉS, DE MOLLUSQUES, D’AUTRES INVERTÉBRÉS AQUATIQUES OU D’INSECTES: Autres preparations et conserves de viande, d’abats, de sang ou d’insectes: de volailles du no 0105: de dinde: contenant en poids 57 % ou plus de viande ou d'abats de volailles: contenant exclusivement de la viande de dinde non cuite</t>
  </si>
  <si>
    <t>CHAPITRE 16 - PRÉPARATIONS DE VIANDE, DE POISSONS OU DE CRUSTACÉS, DE MOLLUSQUES OU D'AUTRES INVERTÉBRÉS AQUATIQUES: Autres préparations et conserves de viande, d'abats ou de sang: de volailles du no 0105: de dinde: contenant en poids 57 % ou plus de viande ou d'abats de volailles: contenant exclusivement de la viande de dinde non cuite</t>
  </si>
  <si>
    <t>CHAPITRE 16 - PRÉPARATIONS DE VIANDE, DE POISSONS, DE CRUSTACÉS, DE MOLLUSQUES, D’AUTRES INVERTÉBRÉS AQUATIQUES OU D’INSECTES: Autres preparations et conserves de viande, d’abats, de sang ou d’insectes: de volailles du no 0105: de dinde: contenant en poids 57 % ou plus de viande ou d'abats de volailles: autres</t>
  </si>
  <si>
    <t>CHAPITRE 16 - PRÉPARATIONS DE VIANDE, DE POISSONS OU DE CRUSTACÉS, DE MOLLUSQUES OU D'AUTRES INVERTÉBRÉS AQUATIQUES: Autres préparations et conserves de viande, d'abats ou de sang: de volailles du no 0105: de dinde: contenant en poids 57 % ou plus de viande ou d'abats de volailles: autres</t>
  </si>
  <si>
    <t>CHAPITRE 16 - PRÉPARATIONS DE VIANDE, DE POISSONS, DE CRUSTACÉS, DE MOLLUSQUES, D’AUTRES INVERTÉBRÉS AQUATIQUES OU D’INSECTES: Autres preparations et conserves de viande, d’abats, de sang ou d’insectes: de volailles du no 0105: de dinde: autres</t>
  </si>
  <si>
    <t>CHAPITRE 16 - PRÉPARATIONS DE VIANDE, DE POISSONS OU DE CRUSTACÉS, DE MOLLUSQUES OU D'AUTRES INVERTÉBRÉS AQUATIQUES: Autres préparations et conserves de viande, d'abats ou de sang: de volailles du no 0105: de dinde: autres</t>
  </si>
  <si>
    <t>non cuits</t>
  </si>
  <si>
    <t>CHAPITRE 16 - PRÉPARATIONS DE VIANDE, DE POISSONS, DE CRUSTACÉS, DE MOLLUSQUES, D’AUTRES INVERTÉBRÉS AQUATIQUES OU D’INSECTES: Autres preparations et conserves de viande, d’abats, de sang ou d’insectes: de volailles du no 0105: de volailles de l’espèce Gallus domesticus: contenant en poids 57 % ou plus de viande ou d'abats de volailles: non cuits</t>
  </si>
  <si>
    <t>CHAPITRE 16 - PRÉPARATIONS DE VIANDE, DE POISSONS OU DE CRUSTACÉS, DE MOLLUSQUES OU D'AUTRES INVERTÉBRÉS AQUATIQUES: Autres préparations et conserves de viande, d'abats ou de sang: de volailles du no 0105: de volailles de l’espèce Gallus domesticus: contenant en poids 57 % ou plus de viande ou d'abats de volailles: non cuits</t>
  </si>
  <si>
    <t>CHAPITRE 16 - PRÉPARATIONS DE VIANDE, DE POISSONS, DE CRUSTACÉS, DE MOLLUSQUES, D’AUTRES INVERTÉBRÉS AQUATIQUES OU D’INSECTES: Autres preparations et conserves de viande, d’abats, de sang ou d’insectes: de volailles du no 0105: de volailles de l’espèce Gallus domesticus: contenant en poids 57 % ou plus de viande ou d'abats de volailles: autres</t>
  </si>
  <si>
    <t>CHAPITRE 16 - PRÉPARATIONS DE VIANDE, DE POISSONS OU DE CRUSTACÉS, DE MOLLUSQUES OU D'AUTRES INVERTÉBRÉS AQUATIQUES: Autres préparations et conserves de viande, d'abats ou de sang: de volailles du no 0105: de volailles de l’espèce Gallus domesticus: contenant en poids 57 % ou plus de viande ou d'abats de volailles: autres</t>
  </si>
  <si>
    <t>contenant en poids 25 % ou plus mais moins de 57 % de viande ou d'abats de volailles</t>
  </si>
  <si>
    <t>CHAPITRE 16 - PRÉPARATIONS DE VIANDE, DE POISSONS, DE CRUSTACÉS, DE MOLLUSQUES, D’AUTRES INVERTÉBRÉS AQUATIQUES OU D’INSECTES: Autres preparations et conserves de viande, d’abats, de sang ou d’insectes: de volailles du no 0105: de volailles de l’espèce Gallus domesticus: contenant en poids 25 % ou plus mais moins de 57 % de viande ou d'abats de volailles</t>
  </si>
  <si>
    <t>CHAPITRE 16 - PRÉPARATIONS DE VIANDE, DE POISSONS OU DE CRUSTACÉS, DE MOLLUSQUES OU D'AUTRES INVERTÉBRÉS AQUATIQUES: Autres préparations et conserves de viande, d'abats ou de sang: de volailles du no 0105: de volailles de l’espèce Gallus domesticus: contenant en poids 25 % ou plus mais moins de 57 % de viande ou d'abats de volailles</t>
  </si>
  <si>
    <t>CHAPITRE 16 - PRÉPARATIONS DE VIANDE, DE POISSONS, DE CRUSTACÉS, DE MOLLUSQUES, D’AUTRES INVERTÉBRÉS AQUATIQUES OU D’INSECTES: Autres preparations et conserves de viande, d’abats, de sang ou d’insectes: de volailles du no 0105: de volailles de l’espèce Gallus domesticus: autres</t>
  </si>
  <si>
    <t>CHAPITRE 16 - PRÉPARATIONS DE VIANDE, DE POISSONS OU DE CRUSTACÉS, DE MOLLUSQUES OU D'AUTRES INVERTÉBRÉS AQUATIQUES: Autres préparations et conserves de viande, d'abats ou de sang: de volailles du no 0105: de volailles de l’espèce Gallus domesticus: autres</t>
  </si>
  <si>
    <t>CHAPITRE 16 - PRÉPARATIONS DE VIANDE, DE POISSONS, DE CRUSTACÉS, DE MOLLUSQUES, D’AUTRES INVERTÉBRÉS AQUATIQUES OU D’INSECTES: Autres preparations et conserves de viande, d’abats, de sang ou d’insectes: de volailles du no 0105: autres: contenant en poids 57 % ou plus de viande ou d'abats de volailles: non cuits</t>
  </si>
  <si>
    <t>CHAPITRE 16 - PRÉPARATIONS DE VIANDE, DE POISSONS OU DE CRUSTACÉS, DE MOLLUSQUES OU D'AUTRES INVERTÉBRÉS AQUATIQUES: Autres préparations et conserves de viande, d'abats ou de sang: de volailles du no 0105: autres: contenant en poids 57 % ou plus de viande ou d'abats de volailles: non cuits</t>
  </si>
  <si>
    <t>CHAPITRE 16 - PRÉPARATIONS DE VIANDE, DE POISSONS, DE CRUSTACÉS, DE MOLLUSQUES, D’AUTRES INVERTÉBRÉS AQUATIQUES OU D’INSECTES: Autres preparations et conserves de viande, d’abats, de sang ou d’insectes: de volailles du no 0105: autres: contenant en poids 57 % ou plus de viande ou d'abats de volailles: autres</t>
  </si>
  <si>
    <t>CHAPITRE 16 - PRÉPARATIONS DE VIANDE, DE POISSONS OU DE CRUSTACÉS, DE MOLLUSQUES OU D'AUTRES INVERTÉBRÉS AQUATIQUES: Autres préparations et conserves de viande, d'abats ou de sang: de volailles du no 0105: autres: contenant en poids 57 % ou plus de viande ou d'abats de volailles: autres</t>
  </si>
  <si>
    <t>CHAPITRE 16 - PRÉPARATIONS DE VIANDE, DE POISSONS, DE CRUSTACÉS, DE MOLLUSQUES, D’AUTRES INVERTÉBRÉS AQUATIQUES OU D’INSECTES: Autres preparations et conserves de viande, d’abats, de sang ou d’insectes: de volailles du no 0105: autres: autres</t>
  </si>
  <si>
    <t>CHAPITRE 16 - PRÉPARATIONS DE VIANDE, DE POISSONS OU DE CRUSTACÉS, DE MOLLUSQUES OU D'AUTRES INVERTÉBRÉS AQUATIQUES: Autres préparations et conserves de viande, d'abats ou de sang: de volailles du no 0105: autres: autres</t>
  </si>
  <si>
    <t>de l'espèce porcine domestique</t>
  </si>
  <si>
    <t>CHAPITRE 16 - PRÉPARATIONS DE VIANDE, DE POISSONS, DE CRUSTACÉS, DE MOLLUSQUES, D’AUTRES INVERTÉBRÉS AQUATIQUES OU D’INSECTES: Autres preparations et conserves de viande, d’abats, de sang ou d’insectes: de l'espèce porcine: Jambons et leurs morceaux: de l'espèce porcine domestique</t>
  </si>
  <si>
    <t>CHAPITRE 16 - PRÉPARATIONS DE VIANDE, DE POISSONS OU DE CRUSTACÉS, DE MOLLUSQUES OU D'AUTRES INVERTÉBRÉS AQUATIQUES: Autres préparations et conserves de viande, d'abats ou de sang: de l'espèce porcine: Jambons et leurs morceaux: de l'espèce porcine domestique</t>
  </si>
  <si>
    <t>CHAPITRE 16 - PRÉPARATIONS DE VIANDE, DE POISSONS, DE CRUSTACÉS, DE MOLLUSQUES, D’AUTRES INVERTÉBRÉS AQUATIQUES OU D’INSECTES: Autres preparations et conserves de viande, d’abats, de sang ou d’insectes: de l'espèce porcine: Jambons et leurs morceaux: autres</t>
  </si>
  <si>
    <t>CHAPITRE 16 - PRÉPARATIONS DE VIANDE, DE POISSONS OU DE CRUSTACÉS, DE MOLLUSQUES OU D'AUTRES INVERTÉBRÉS AQUATIQUES: Autres préparations et conserves de viande, d'abats ou de sang: de l'espèce porcine: Jambons et leurs morceaux: autres</t>
  </si>
  <si>
    <t>CHAPITRE 16 - PRÉPARATIONS DE VIANDE, DE POISSONS, DE CRUSTACÉS, DE MOLLUSQUES, D’AUTRES INVERTÉBRÉS AQUATIQUES OU D’INSECTES: Autres preparations et conserves de viande, d’abats, de sang ou d’insectes: de l'espèce porcine: Épaules et leurs morceaux: de l'espèce porcine domestique</t>
  </si>
  <si>
    <t>CHAPITRE 16 - PRÉPARATIONS DE VIANDE, DE POISSONS OU DE CRUSTACÉS, DE MOLLUSQUES OU D'AUTRES INVERTÉBRÉS AQUATIQUES: Autres préparations et conserves de viande, d'abats ou de sang: de l'espèce porcine: Épaules et leurs morceaux: de l'espèce porcine domestique</t>
  </si>
  <si>
    <t>CHAPITRE 16 - PRÉPARATIONS DE VIANDE, DE POISSONS, DE CRUSTACÉS, DE MOLLUSQUES, D’AUTRES INVERTÉBRÉS AQUATIQUES OU D’INSECTES: Autres preparations et conserves de viande, d’abats, de sang ou d’insectes: de l'espèce porcine: Épaules et leurs morceaux: autres</t>
  </si>
  <si>
    <t>CHAPITRE 16 - PRÉPARATIONS DE VIANDE, DE POISSONS OU DE CRUSTACÉS, DE MOLLUSQUES OU D'AUTRES INVERTÉBRÉS AQUATIQUES: Autres préparations et conserves de viande, d'abats ou de sang: de l'espèce porcine: Épaules et leurs morceaux: autres</t>
  </si>
  <si>
    <t>Longes (à l'exclusion des échines) et leurs morceaux, y compris les mélanges de longes et jambons</t>
  </si>
  <si>
    <t>CHAPITRE 16 - PRÉPARATIONS DE VIANDE, DE POISSONS, DE CRUSTACÉS, DE MOLLUSQUES, D’AUTRES INVERTÉBRÉS AQUATIQUES OU D’INSECTES: Autres preparations et conserves de viande, d’abats, de sang ou d’insectes: de l'espèce porcine: autres, y compris les mélanges: de l'espèce porcine domestique: contenant en poids 80 % ou plus de viande ou d'abats, de toutes espèces, y compris le lard et les graisses de toute nature ou origine: Longes (à l'exclusion des échines) et leurs morceaux, y compris les mélanges de longes et jambons</t>
  </si>
  <si>
    <t>CHAPITRE 16 - PRÉPARATIONS DE VIANDE, DE POISSONS OU DE CRUSTACÉS, DE MOLLUSQUES OU D'AUTRES INVERTÉBRÉS AQUATIQUES: Autres préparations et conserves de viande, d'abats ou de sang: de l'espèce porcine: autres, y compris les mélanges: de l'espèce porcine domestique: contenant en poids 80 % ou plus de viande ou d'abats, de toutes espèces, y compris le lard et les graisses de toute nature ou origine: Longes (à l'exclusion des échines) et leurs morceaux, y compris les mélanges de longes et jambons</t>
  </si>
  <si>
    <t>Échines et leurs morceaux, y compris les mélanges d'échines et épaules</t>
  </si>
  <si>
    <t>CHAPITRE 16 - PRÉPARATIONS DE VIANDE, DE POISSONS, DE CRUSTACÉS, DE MOLLUSQUES, D’AUTRES INVERTÉBRÉS AQUATIQUES OU D’INSECTES: Autres preparations et conserves de viande, d’abats, de sang ou d’insectes: de l'espèce porcine: autres, y compris les mélanges: de l'espèce porcine domestique: contenant en poids 80 % ou plus de viande ou d'abats, de toutes espèces, y compris le lard et les graisses de toute nature ou origine: Échines et leurs morceaux, y compris les mélanges d'échines et épaules</t>
  </si>
  <si>
    <t>CHAPITRE 16 - PRÉPARATIONS DE VIANDE, DE POISSONS OU DE CRUSTACÉS, DE MOLLUSQUES OU D'AUTRES INVERTÉBRÉS AQUATIQUES: Autres préparations et conserves de viande, d'abats ou de sang: de l'espèce porcine: autres, y compris les mélanges: de l'espèce porcine domestique: contenant en poids 80 % ou plus de viande ou d'abats, de toutes espèces, y compris le lard et les graisses de toute nature ou origine: Échines et leurs morceaux, y compris les mélanges d'échines et épaules</t>
  </si>
  <si>
    <t>autres mélanges contenant jambons, épaules, longes ou échines et leurs morceaux</t>
  </si>
  <si>
    <t>CHAPITRE 16 - PRÉPARATIONS DE VIANDE, DE POISSONS, DE CRUSTACÉS, DE MOLLUSQUES, D’AUTRES INVERTÉBRÉS AQUATIQUES OU D’INSECTES: Autres preparations et conserves de viande, d’abats, de sang ou d’insectes: de l'espèce porcine: autres, y compris les mélanges: de l'espèce porcine domestique: contenant en poids 80 % ou plus de viande ou d'abats, de toutes espèces, y compris le lard et les graisses de toute nature ou origine: autres mélanges contenant jambons, épaules, longes ou échines et leurs morceaux</t>
  </si>
  <si>
    <t>CHAPITRE 16 - PRÉPARATIONS DE VIANDE, DE POISSONS OU DE CRUSTACÉS, DE MOLLUSQUES OU D'AUTRES INVERTÉBRÉS AQUATIQUES: Autres préparations et conserves de viande, d'abats ou de sang: de l'espèce porcine: autres, y compris les mélanges: de l'espèce porcine domestique: contenant en poids 80 % ou plus de viande ou d'abats, de toutes espèces, y compris le lard et les graisses de toute nature ou origine: autres mélanges contenant jambons, épaules, longes ou échines et leurs morceaux</t>
  </si>
  <si>
    <t>CHAPITRE 16 - PRÉPARATIONS DE VIANDE, DE POISSONS, DE CRUSTACÉS, DE MOLLUSQUES, D’AUTRES INVERTÉBRÉS AQUATIQUES OU D’INSECTES: Autres preparations et conserves de viande, d’abats, de sang ou d’insectes: de l'espèce porcine: autres, y compris les mélanges: de l'espèce porcine domestique: contenant en poids 80 % ou plus de viande ou d'abats, de toutes espèces, y compris le lard et les graisses de toute nature ou origine: autres</t>
  </si>
  <si>
    <t>CHAPITRE 16 - PRÉPARATIONS DE VIANDE, DE POISSONS OU DE CRUSTACÉS, DE MOLLUSQUES OU D'AUTRES INVERTÉBRÉS AQUATIQUES: Autres préparations et conserves de viande, d'abats ou de sang: de l'espèce porcine: autres, y compris les mélanges: de l'espèce porcine domestique: contenant en poids 80 % ou plus de viande ou d'abats, de toutes espèces, y compris le lard et les graisses de toute nature ou origine: autres</t>
  </si>
  <si>
    <t>contenant en poids 40 % ou plus mais moins de 80 % de viande ou d'abats, de toutes espèces, y compris le lard et les graisses de toute nature ou origine</t>
  </si>
  <si>
    <t>CHAPITRE 16 - PRÉPARATIONS DE VIANDE, DE POISSONS, DE CRUSTACÉS, DE MOLLUSQUES, D’AUTRES INVERTÉBRÉS AQUATIQUES OU D’INSECTES: Autres preparations et conserves de viande, d’abats, de sang ou d’insectes: de l'espèce porcine: autres, y compris les mélanges: de l'espèce porcine domestique: contenant en poids 40 % ou plus mais moins de 80 % de viande ou d'abats, de toutes espèces, y compris le lard et les graisses de toute nature ou origine</t>
  </si>
  <si>
    <t>CHAPITRE 16 - PRÉPARATIONS DE VIANDE, DE POISSONS OU DE CRUSTACÉS, DE MOLLUSQUES OU D'AUTRES INVERTÉBRÉS AQUATIQUES: Autres préparations et conserves de viande, d'abats ou de sang: de l'espèce porcine: autres, y compris les mélanges: de l'espèce porcine domestique: contenant en poids 40 % ou plus mais moins de 80 % de viande ou d'abats, de toutes espèces, y compris le lard et les graisses de toute nature ou origine</t>
  </si>
  <si>
    <t>contenant en poids moins de 40 % de viande ou d'abats, de toutes espèces, y compris le lard et les graisses de toute nature ou origine</t>
  </si>
  <si>
    <t>CHAPITRE 16 - PRÉPARATIONS DE VIANDE, DE POISSONS, DE CRUSTACÉS, DE MOLLUSQUES, D’AUTRES INVERTÉBRÉS AQUATIQUES OU D’INSECTES: Autres preparations et conserves de viande, d’abats, de sang ou d’insectes: de l'espèce porcine: autres, y compris les mélanges: de l'espèce porcine domestique: contenant en poids moins de 40 % de viande ou d'abats, de toutes espèces, y compris le lard et les graisses de toute nature ou origine</t>
  </si>
  <si>
    <t>CHAPITRE 16 - PRÉPARATIONS DE VIANDE, DE POISSONS OU DE CRUSTACÉS, DE MOLLUSQUES OU D'AUTRES INVERTÉBRÉS AQUATIQUES: Autres préparations et conserves de viande, d'abats ou de sang: de l'espèce porcine: autres, y compris les mélanges: de l'espèce porcine domestique: contenant en poids moins de 40 % de viande ou d'abats, de toutes espèces, y compris le lard et les graisses de toute nature ou origine</t>
  </si>
  <si>
    <t>CHAPITRE 16 - PRÉPARATIONS DE VIANDE, DE POISSONS, DE CRUSTACÉS, DE MOLLUSQUES, D’AUTRES INVERTÉBRÉS AQUATIQUES OU D’INSECTES: Autres preparations et conserves de viande, d’abats, de sang ou d’insectes: de l'espèce porcine: autres, y compris les mélanges: autres</t>
  </si>
  <si>
    <t>CHAPITRE 16 - PRÉPARATIONS DE VIANDE, DE POISSONS OU DE CRUSTACÉS, DE MOLLUSQUES OU D'AUTRES INVERTÉBRÉS AQUATIQUES: Autres préparations et conserves de viande, d'abats ou de sang: de l'espèce porcine: autres, y compris les mélanges: autres</t>
  </si>
  <si>
    <t>non cuits; mélanges de viande ou d'abats cuits et de viande ou d'abats non cuits</t>
  </si>
  <si>
    <t>CHAPITRE 16 - PRÉPARATIONS DE VIANDE, DE POISSONS, DE CRUSTACÉS, DE MOLLUSQUES, D’AUTRES INVERTÉBRÉS AQUATIQUES OU D’INSECTES: Autres preparations et conserves de viande, d’abats, de sang ou d’insectes: de l'espèce bovine: non cuits; mélanges de viande ou d'abats cuits et de viande ou d'abats non cuits</t>
  </si>
  <si>
    <t>CHAPITRE 16 - PRÉPARATIONS DE VIANDE, DE POISSONS OU DE CRUSTACÉS, DE MOLLUSQUES OU D'AUTRES INVERTÉBRÉS AQUATIQUES: Autres préparations et conserves de viande, d'abats ou de sang: de l'espèce bovine: non cuits; mélanges de viande ou d'abats cuits et de viande ou d'abats non cuits</t>
  </si>
  <si>
    <t>Corned beef, en récipients hermétiquement clos</t>
  </si>
  <si>
    <t>CHAPITRE 16 - PRÉPARATIONS DE VIANDE, DE POISSONS, DE CRUSTACÉS, DE MOLLUSQUES, D’AUTRES INVERTÉBRÉS AQUATIQUES OU D’INSECTES: Autres preparations et conserves de viande, d’abats, de sang ou d’insectes: de l'espèce bovine: autres: Corned beef, en récipients hermétiquement clos</t>
  </si>
  <si>
    <t>CHAPITRE 16 - PRÉPARATIONS DE VIANDE, DE POISSONS OU DE CRUSTACÉS, DE MOLLUSQUES OU D'AUTRES INVERTÉBRÉS AQUATIQUES: Autres préparations et conserves de viande, d'abats ou de sang: de l'espèce bovine: autres: Corned beef, en récipients hermétiquement clos</t>
  </si>
  <si>
    <t>CHAPITRE 16 - PRÉPARATIONS DE VIANDE, DE POISSONS, DE CRUSTACÉS, DE MOLLUSQUES, D’AUTRES INVERTÉBRÉS AQUATIQUES OU D’INSECTES: Autres preparations et conserves de viande, d’abats, de sang ou d’insectes: de l'espèce bovine: autres: autres</t>
  </si>
  <si>
    <t>CHAPITRE 16 - PRÉPARATIONS DE VIANDE, DE POISSONS OU DE CRUSTACÉS, DE MOLLUSQUES OU D'AUTRES INVERTÉBRÉS AQUATIQUES: Autres préparations et conserves de viande, d'abats ou de sang: de l'espèce bovine: autres: autres</t>
  </si>
  <si>
    <t>Préparations de sang de tous animaux</t>
  </si>
  <si>
    <t>CHAPITRE 16 - PRÉPARATIONS DE VIANDE, DE POISSONS, DE CRUSTACÉS, DE MOLLUSQUES, D’AUTRES INVERTÉBRÉS AQUATIQUES OU D’INSECTES: Autres preparations et conserves de viande, d’abats, de sang ou d’insectes: autres, y compris les préparations de sang de tous animaux: Préparations de sang de tous animaux</t>
  </si>
  <si>
    <t>CHAPITRE 16 - PRÉPARATIONS DE VIANDE, DE POISSONS OU DE CRUSTACÉS, DE MOLLUSQUES OU D'AUTRES INVERTÉBRÉS AQUATIQUES: Autres préparations et conserves de viande, d'abats ou de sang: autres, y compris les préparations de sang de tous animaux: Préparations de sang de tous animaux</t>
  </si>
  <si>
    <t>de gibier ou de lapin</t>
  </si>
  <si>
    <t>CHAPITRE 16 - PRÉPARATIONS DE VIANDE, DE POISSONS, DE CRUSTACÉS, DE MOLLUSQUES, D’AUTRES INVERTÉBRÉS AQUATIQUES OU D’INSECTES: Autres preparations et conserves de viande, d’abats, de sang ou d’insectes: autres, y compris les préparations de sang de tous animaux: autres: de gibier ou de lapin</t>
  </si>
  <si>
    <t>CHAPITRE 16 - PRÉPARATIONS DE VIANDE, DE POISSONS OU DE CRUSTACÉS, DE MOLLUSQUES OU D'AUTRES INVERTÉBRÉS AQUATIQUES: Autres préparations et conserves de viande, d'abats ou de sang: autres, y compris les préparations de sang de tous animaux: autres: de gibier ou de lapin</t>
  </si>
  <si>
    <t>contenant de la viande ou des abats de l'espèce porcine domestique</t>
  </si>
  <si>
    <t>CHAPITRE 16 - PRÉPARATIONS DE VIANDE, DE POISSONS, DE CRUSTACÉS, DE MOLLUSQUES, D’AUTRES INVERTÉBRÉS AQUATIQUES OU D’INSECTES: Autres preparations et conserves de viande, d’abats, de sang ou d’insectes: autres, y compris les préparations de sang de tous animaux: autres: autres: contenant de la viande ou des abats de l'espèce porcine domestique</t>
  </si>
  <si>
    <t>CHAPITRE 16 - PRÉPARATIONS DE VIANDE, DE POISSONS OU DE CRUSTACÉS, DE MOLLUSQUES OU D'AUTRES INVERTÉBRÉS AQUATIQUES: Autres préparations et conserves de viande, d'abats ou de sang: autres, y compris les préparations de sang de tous animaux: autres: autres: contenant de la viande ou des abats de l'espèce porcine domestique</t>
  </si>
  <si>
    <t>CHAPITRE 16 - PRÉPARATIONS DE VIANDE, DE POISSONS, DE CRUSTACÉS, DE MOLLUSQUES, D’AUTRES INVERTÉBRÉS AQUATIQUES OU D’INSECTES: Autres preparations et conserves de viande, d’abats, de sang ou d’insectes: autres, y compris les préparations de sang de tous animaux: autres: autres: autres: contenant de la viande ou des abats de l'espèce bovine: non cuits; mélanges de viande ou d'abats cuits et de viande ou d'abats non cuits</t>
  </si>
  <si>
    <t>CHAPITRE 16 - PRÉPARATIONS DE VIANDE, DE POISSONS OU DE CRUSTACÉS, DE MOLLUSQUES OU D'AUTRES INVERTÉBRÉS AQUATIQUES: Autres préparations et conserves de viande, d'abats ou de sang: autres, y compris les préparations de sang de tous animaux: autres: autres: autres: contenant de la viande ou des abats de l'espèce bovine: non cuits; mélanges de viande ou d'abats cuits et de viande ou d'abats non cuits</t>
  </si>
  <si>
    <t>CHAPITRE 16 - PRÉPARATIONS DE VIANDE, DE POISSONS, DE CRUSTACÉS, DE MOLLUSQUES, D’AUTRES INVERTÉBRÉS AQUATIQUES OU D’INSECTES: Autres preparations et conserves de viande, d’abats, de sang ou d’insectes: autres, y compris les préparations de sang de tous animaux: autres: autres: autres: contenant de la viande ou des abats de l'espèce bovine: autres</t>
  </si>
  <si>
    <t>CHAPITRE 16 - PRÉPARATIONS DE VIANDE, DE POISSONS OU DE CRUSTACÉS, DE MOLLUSQUES OU D'AUTRES INVERTÉBRÉS AQUATIQUES: Autres préparations et conserves de viande, d'abats ou de sang: autres, y compris les préparations de sang de tous animaux: autres: autres: autres: contenant de la viande ou des abats de l'espèce bovine: autres</t>
  </si>
  <si>
    <t>d'ovins</t>
  </si>
  <si>
    <t>CHAPITRE 16 - PRÉPARATIONS DE VIANDE, DE POISSONS, DE CRUSTACÉS, DE MOLLUSQUES, D’AUTRES INVERTÉBRÉS AQUATIQUES OU D’INSECTES: Autres preparations et conserves de viande, d’abats, de sang ou d’insectes: autres, y compris les préparations de sang de tous animaux: autres: autres: autres: autres: d'ovins</t>
  </si>
  <si>
    <t>CHAPITRE 16 - PRÉPARATIONS DE VIANDE, DE POISSONS OU DE CRUSTACÉS, DE MOLLUSQUES OU D'AUTRES INVERTÉBRÉS AQUATIQUES: Autres préparations et conserves de viande, d'abats ou de sang: autres, y compris les préparations de sang de tous animaux: autres: autres: autres: autres: d'ovins</t>
  </si>
  <si>
    <t>de caprins</t>
  </si>
  <si>
    <t>CHAPITRE 16 - PRÉPARATIONS DE VIANDE, DE POISSONS, DE CRUSTACÉS, DE MOLLUSQUES, D’AUTRES INVERTÉBRÉS AQUATIQUES OU D’INSECTES: Autres preparations et conserves de viande, d’abats, de sang ou d’insectes: autres, y compris les préparations de sang de tous animaux: autres: autres: autres: autres: de caprins</t>
  </si>
  <si>
    <t>CHAPITRE 16 - PRÉPARATIONS DE VIANDE, DE POISSONS OU DE CRUSTACÉS, DE MOLLUSQUES OU D'AUTRES INVERTÉBRÉS AQUATIQUES: Autres préparations et conserves de viande, d'abats ou de sang: autres, y compris les préparations de sang de tous animaux: autres: autres: autres: autres: de caprins</t>
  </si>
  <si>
    <t>CHAPITRE 16 - PRÉPARATIONS DE VIANDE, DE POISSONS, DE CRUSTACÉS, DE MOLLUSQUES, D’AUTRES INVERTÉBRÉS AQUATIQUES OU D’INSECTES: Autres preparations et conserves de viande, d’abats, de sang ou d’insectes: autres, y compris les préparations de sang de tous animaux: autres: autres: autres: autres: autres</t>
  </si>
  <si>
    <t>CHAPITRE 16 - PRÉPARATIONS DE VIANDE, DE POISSONS OU DE CRUSTACÉS, DE MOLLUSQUES OU D'AUTRES INVERTÉBRÉS AQUATIQUES: Autres préparations et conserves de viande, d'abats ou de sang: autres, y compris les préparations de sang de tous animaux: autres: autres: autres: autres: autres</t>
  </si>
  <si>
    <t>en emballages immédiats d'un contenu net n'excédant pas 1 kg</t>
  </si>
  <si>
    <t>CHAPITRE 16 - PRÉPARATIONS DE VIANDE, DE POISSONS, DE CRUSTACÉS, DE MOLLUSQUES, D’AUTRES INVERTÉBRÉS AQUATIQUES OU D’INSECTES: Extraits et jus de viande, de poissons ou de crustacés, de mollusques ou d'autres invertébrés aquatiques: en emballages immédiats d'un contenu net n'excédant pas 1 kg</t>
  </si>
  <si>
    <t>CHAPITRE 16 - PRÉPARATIONS DE VIANDE, DE POISSONS OU DE CRUSTACÉS, DE MOLLUSQUES OU D'AUTRES INVERTÉBRÉS AQUATIQUES: Extraits et jus de viande, de poissons ou de crustacés, de mollusques ou d'autres invertébrés aquatiques: en emballages immédiats d'un contenu net n'excédant pas 1 kg</t>
  </si>
  <si>
    <t>CHAPITRE 16 - PRÉPARATIONS DE VIANDE, DE POISSONS, DE CRUSTACÉS, DE MOLLUSQUES, D’AUTRES INVERTÉBRÉS AQUATIQUES OU D’INSECTES: Extraits et jus de viande, de poissons ou de crustacés, de mollusques ou d'autres invertébrés aquatiques: autres</t>
  </si>
  <si>
    <t>CHAPITRE 16 - PRÉPARATIONS DE VIANDE, DE POISSONS OU DE CRUSTACÉS, DE MOLLUSQUES OU D'AUTRES INVERTÉBRÉS AQUATIQUES: Extraits et jus de viande, de poissons ou de crustacés, de mollusques ou d'autres invertébrés aquatiques: autres</t>
  </si>
  <si>
    <t>Saumons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</si>
  <si>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Saumons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</si>
  <si>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Saumons</t>
  </si>
  <si>
    <t>Filets crus, simplement enrobés de pâte ou de chapelure (panés), même précuits dans l'huile, congelés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</si>
  <si>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Harengs: Filets crus, simplement enrobés de pâte ou de chapelure (panés), même précuits dans l'huile, congelés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</si>
  <si>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Harengs: Filets crus, simplement enrobés de pâte ou de chapelure (panés), même précuits dans l'huile, congelés</t>
  </si>
  <si>
    <t>en récipients hermétiquement clos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</si>
  <si>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Harengs: autres: en récipients hermétiquement clos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</si>
  <si>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Harengs: autres: en récipients hermétiquement clos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</si>
  <si>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Harengs: autres: autres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</si>
  <si>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Harengs: autres: autres</t>
  </si>
  <si>
    <t>à l'huile d'olive</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</si>
  <si>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Sardines, sardinelles et sprats ou esprots: Sardines: à l'huile d'olive</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</si>
  <si>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Sardines, sardinelles et sprats ou esprots: Sardines: à l'huile d'olive</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</si>
  <si>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Sardines, sardinelles et sprats ou esprots: Sardines: autres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</si>
  <si>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Sardines, sardinelles et sprats ou esprots: Sardines: autres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</si>
  <si>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Sardines, sardinelles et sprats ou esprots: autres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</si>
  <si>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Sardines, sardinelles et sprats ou esprots: autres</t>
  </si>
  <si>
    <t>à l'huile végétale</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</si>
  <si>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Thons, listaos et bonites (Sarda spp.): Thons et listaos: Listaos ou bonites à ventre rayé: à l'huile végétale</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</si>
  <si>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Thons, listaos et bonites (Sarda spp.): Thons et listaos: Listaos ou bonites à ventre rayé: à l'huile végétale</t>
  </si>
  <si>
    <t>Filets dénommés « longes »</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</si>
  <si>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Thons, listaos et bonites (Sarda spp.): Thons et listaos: Listaos ou bonites à ventre rayé: autres: Filets dénommés « longes »</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</si>
  <si>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Thons, listaos et bonites (Sarda spp.): Thons et listaos: Listaos ou bonites à ventre rayé: autres: Filets dénommés « longes »</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</si>
  <si>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Thons, listaos et bonites (Sarda spp.): Thons et listaos: Listaos ou bonites à ventre rayé: autres: autres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</si>
  <si>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Thons, listaos et bonites (Sarda spp.): Thons et listaos: Listaos ou bonites à ventre rayé: autres: autres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</si>
  <si>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Thons, listaos et bonites (Sarda spp.): Thons et listaos: Thons à nageoires jaunes (Thunnus albacares): à l'huile végétale</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</si>
  <si>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Thons, listaos et bonites (Sarda spp.): Thons et listaos: Thons à nageoires jaunes (Thunnus albacares): à l'huile végétale</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</si>
  <si>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Thons, listaos et bonites (Sarda spp.): Thons et listaos: Thons à nageoires jaunes (Thunnus albacares): autres: Filets dénommés « longes »</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</si>
  <si>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Thons, listaos et bonites (Sarda spp.): Thons et listaos: Thons à nageoires jaunes (Thunnus albacares): autres: Filets dénommés « longes »</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</si>
  <si>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Thons, listaos et bonites (Sarda spp.): Thons et listaos: Thons à nageoires jaunes (Thunnus albacares): autres: autres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</si>
  <si>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Thons, listaos et bonites (Sarda spp.): Thons et listaos: Thons à nageoires jaunes (Thunnus albacares): autres: autres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</si>
  <si>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Thons, listaos et bonites (Sarda spp.): Thons et listaos: autres: à l'huile végétale</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</si>
  <si>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Thons, listaos et bonites (Sarda spp.): Thons et listaos: autres: à l'huile végétale</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</si>
  <si>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Thons, listaos et bonites (Sarda spp.): Thons et listaos: autres: autres: Filets dénommés « longes »</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</si>
  <si>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Thons, listaos et bonites (Sarda spp.): Thons et listaos: autres: autres: Filets dénommés « longes »</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</si>
  <si>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Thons, listaos et bonites (Sarda spp.): Thons et listaos: autres: autres: autres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</si>
  <si>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Thons, listaos et bonites (Sarda spp.): Thons et listaos: autres: autres: autres</t>
  </si>
  <si>
    <t>Bonites (Sarda spp.)</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</si>
  <si>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Thons, listaos et bonites (Sarda spp.): Bonites (Sarda spp.)</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</si>
  <si>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Thons, listaos et bonites (Sarda spp.): Bonites (Sarda spp.)</t>
  </si>
  <si>
    <t>Filets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</si>
  <si>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Maquereaux: des espèces Scomber scombrus et Scomber japonicus: Filets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</si>
  <si>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Maquereaux: des espèces Scomber scombrus et Scomber japonicus: Filets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</si>
  <si>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Maquereaux: des espèces Scomber scombrus et Scomber japonicus: autres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</si>
  <si>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Maquereaux: des espèces Scomber scombrus et Scomber japonicus: autres</t>
  </si>
  <si>
    <t>de l'espèce Scomber australasicus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</si>
  <si>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Maquereaux: de l'espèce Scomber australasicus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</si>
  <si>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Maquereaux: de l'espèce Scomber australasicus</t>
  </si>
  <si>
    <t>Anchois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</si>
  <si>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Anchois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</si>
  <si>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Anchois</t>
  </si>
  <si>
    <t>Anguilles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</si>
  <si>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Anguilles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</si>
  <si>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Anguilles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</si>
  <si>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Ailerons de requins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</si>
  <si>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Ailerons de requins</t>
  </si>
  <si>
    <t>Salmonidés, autres que les saumons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</si>
  <si>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autres: Salmonidés, autres que les saumons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</si>
  <si>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autres: Salmonidés, autres que les saumons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</si>
  <si>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autres: Poissons du genre Euthynnus, autres que les listaos  (Katsuwonuspelamis): Filets dénommés « longes »</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</si>
  <si>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autres: Poissons du genre Euthynnus, autres que les listaos [Euthynnus (Katsuwonus) pelamis]: Filets dénommés « longes »</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</si>
  <si>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autres: Poissons du genre Euthynnus, autres que les listaos  (Katsuwonuspelamis): autres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</si>
  <si>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autres: Poissons du genre Euthynnus, autres que les listaos [Euthynnus (Katsuwonus) pelamis]: autres</t>
  </si>
  <si>
    <t>Poissons de l'espèce Orcynopsis unicolor</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</si>
  <si>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autres: Poissons de l'espèce Orcynopsis unicolor</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</si>
  <si>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autres: Poissons de l'espèce Orcynopsis unicolor</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</si>
  <si>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autres: autres: Filets crus, simplement enrobés de pâte ou de chapelure (panés), même précuits dans l'huile, congelés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</si>
  <si>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autres: autres: Filets crus, simplement enrobés de pâte ou de chapelure (panés), même précuits dans l'huile, congelés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</si>
  <si>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autres: autres: autres: Morues (Gadus morhua, Gadus ogac, Gadus macrocephalus)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</si>
  <si>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autres: autres: autres: Morues (Gadus morhua, Gadus ogac, Gadus macrocephalus)</t>
  </si>
  <si>
    <t>Lieus noirs (Pollachius virens)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</si>
  <si>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autres: autres: autres: Lieus noirs (Pollachius virens)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</si>
  <si>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autres: autres: autres: Lieus noirs (Pollachius virens)</t>
  </si>
  <si>
    <t>Merlus (Merluccius spp., Urophycis spp.)</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</si>
  <si>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autres: autres: autres: Merlus (Merluccius spp., Urophycis spp.)</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</si>
  <si>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autres: autres: autres: Merlus (Merluccius spp., Urophycis spp.)</t>
  </si>
  <si>
    <t>Lieus de l'Alaska (Theragra chalcogramma) et lieus jaunes (Pollachius pollachius)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</si>
  <si>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autres: autres: autres: Lieus de l'Alaska (Theragra chalcogramma) et lieus jaunes (Pollachius pollachius)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</si>
  <si>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autres: autres: autres: Lieus de l'Alaska (Theragra chalcogramma) et lieus jaunes (Pollachius pollachius)</t>
  </si>
  <si>
    <t>CHAPITRE 16 - PRÉPARATIONS DE VIANDE, DE POISSONS, DE CRUSTACÉS, DE MOLLUSQUES, D’AUTRES INVERTÉBRÉS AQUATIQUES OU D’INSECTES: Préparations et conserves de poissons; caviar et ses succédanés préparés à partir d'œufs de poisson: Poissons entiers ou en morceaux, à l'exclusion des poissons hachés: autres: autres: autres: autres</t>
  </si>
  <si>
    <t>CHAPITRE 16 - PRÉPARATIONS DE VIANDE, DE POISSONS OU DE CRUSTACÉS, DE MOLLUSQUES OU D'AUTRES INVERTÉBRÉS AQUATIQUES: Préparations et conserves de poissons; caviar et ses succédanés préparés à partir d'œufs de poisson: Poissons entiers ou en morceaux, à l'exclusion des poissons hachés: autres: autres: autres: autres</t>
  </si>
  <si>
    <t>Préparations de surimi</t>
  </si>
  <si>
    <t>CHAPITRE 16 - PRÉPARATIONS DE VIANDE, DE POISSONS, DE CRUSTACÉS, DE MOLLUSQUES, D’AUTRES INVERTÉBRÉS AQUATIQUES OU D’INSECTES: Préparations et conserves de poissons; caviar et ses succédanés préparés à partir d'œufs de poisson: autres préparations et conserves de poissons: Préparations de surimi</t>
  </si>
  <si>
    <t>CHAPITRE 16 - PRÉPARATIONS DE VIANDE, DE POISSONS OU DE CRUSTACÉS, DE MOLLUSQUES OU D'AUTRES INVERTÉBRÉS AQUATIQUES: Préparations et conserves de poissons; caviar et ses succédanés préparés à partir d'œufs de poisson: autres préparations et conserves de poissons: Préparations de surimi</t>
  </si>
  <si>
    <t>de saumons</t>
  </si>
  <si>
    <t>CHAPITRE 16 - PRÉPARATIONS DE VIANDE, DE POISSONS, DE CRUSTACÉS, DE MOLLUSQUES, D’AUTRES INVERTÉBRÉS AQUATIQUES OU D’INSECTES: Préparations et conserves de poissons; caviar et ses succédanés préparés à partir d'œufs de poisson: autres préparations et conserves de poissons: autres: de saumons</t>
  </si>
  <si>
    <t>CHAPITRE 16 - PRÉPARATIONS DE VIANDE, DE POISSONS OU DE CRUSTACÉS, DE MOLLUSQUES OU D'AUTRES INVERTÉBRÉS AQUATIQUES: Préparations et conserves de poissons; caviar et ses succédanés préparés à partir d'œufs de poisson: autres préparations et conserves de poissons: autres: de saumons</t>
  </si>
  <si>
    <t>de salmonidés, autres que les saumons</t>
  </si>
  <si>
    <t>CHAPITRE 16 - PRÉPARATIONS DE VIANDE, DE POISSONS, DE CRUSTACÉS, DE MOLLUSQUES, D’AUTRES INVERTÉBRÉS AQUATIQUES OU D’INSECTES: Préparations et conserves de poissons; caviar et ses succédanés préparés à partir d'œufs de poisson: autres préparations et conserves de poissons: autres: de salmonidés, autres que les saumons</t>
  </si>
  <si>
    <t>CHAPITRE 16 - PRÉPARATIONS DE VIANDE, DE POISSONS OU DE CRUSTACÉS, DE MOLLUSQUES OU D'AUTRES INVERTÉBRÉS AQUATIQUES: Préparations et conserves de poissons; caviar et ses succédanés préparés à partir d'œufs de poisson: autres préparations et conserves de poissons: autres: de salmonidés, autres que les saumons</t>
  </si>
  <si>
    <t>d'anchois</t>
  </si>
  <si>
    <t>CHAPITRE 16 - PRÉPARATIONS DE VIANDE, DE POISSONS, DE CRUSTACÉS, DE MOLLUSQUES, D’AUTRES INVERTÉBRÉS AQUATIQUES OU D’INSECTES: Préparations et conserves de poissons; caviar et ses succédanés préparés à partir d'œufs de poisson: autres préparations et conserves de poissons: autres: d'anchois</t>
  </si>
  <si>
    <t>CHAPITRE 16 - PRÉPARATIONS DE VIANDE, DE POISSONS OU DE CRUSTACÉS, DE MOLLUSQUES OU D'AUTRES INVERTÉBRÉS AQUATIQUES: Préparations et conserves de poissons; caviar et ses succédanés préparés à partir d'œufs de poisson: autres préparations et conserves de poissons: autres: d'anchois</t>
  </si>
  <si>
    <t>de sardines, de bonites, de maquereaux des espèces Scomber scombrus et Scomber japonicus et poissons de l'espèce Orcynopsis unicolor</t>
  </si>
  <si>
    <t>CHAPITRE 16 - PRÉPARATIONS DE VIANDE, DE POISSONS, DE CRUSTACÉS, DE MOLLUSQUES, D’AUTRES INVERTÉBRÉS AQUATIQUES OU D’INSECTES: Préparations et conserves de poissons; caviar et ses succédanés préparés à partir d'œufs de poisson: autres préparations et conserves de poissons: autres: de sardines, de bonites, de maquereaux des espèces Scomber scombrus et Scomber japonicus et poissons de l'espèce Orcynopsis unicolor</t>
  </si>
  <si>
    <t>CHAPITRE 16 - PRÉPARATIONS DE VIANDE, DE POISSONS OU DE CRUSTACÉS, DE MOLLUSQUES OU D'AUTRES INVERTÉBRÉS AQUATIQUES: Préparations et conserves de poissons; caviar et ses succédanés préparés à partir d'œufs de poisson: autres préparations et conserves de poissons: autres: de sardines, de bonites, de maquereaux des espèces Scomber scombrus et Scomber japonicus et poissons de l'espèce Orcynopsis unicolor</t>
  </si>
  <si>
    <t>de thons, listaos et autres poissons du genre Euthynnus</t>
  </si>
  <si>
    <t>CHAPITRE 16 - PRÉPARATIONS DE VIANDE, DE POISSONS, DE CRUSTACÉS, DE MOLLUSQUES, D’AUTRES INVERTÉBRÉS AQUATIQUES OU D’INSECTES: Préparations et conserves de poissons; caviar et ses succédanés préparés à partir d'œufs de poisson: autres préparations et conserves de poissons: autres: de thons, listaos et autres poissons du genre Euthynnus</t>
  </si>
  <si>
    <t>CHAPITRE 16 - PRÉPARATIONS DE VIANDE, DE POISSONS OU DE CRUSTACÉS, DE MOLLUSQUES OU D'AUTRES INVERTÉBRÉS AQUATIQUES: Préparations et conserves de poissons; caviar et ses succédanés préparés à partir d'œufs de poisson: autres préparations et conserves de poissons: autres: de thons, listaos et autres poissons du genre Euthynnus</t>
  </si>
  <si>
    <t>d'autres poissons</t>
  </si>
  <si>
    <t>CHAPITRE 16 - PRÉPARATIONS DE VIANDE, DE POISSONS, DE CRUSTACÉS, DE MOLLUSQUES, D’AUTRES INVERTÉBRÉS AQUATIQUES OU D’INSECTES: Préparations et conserves de poissons; caviar et ses succédanés préparés à partir d'œufs de poisson: autres préparations et conserves de poissons: autres: d'autres poissons</t>
  </si>
  <si>
    <t>CHAPITRE 16 - PRÉPARATIONS DE VIANDE, DE POISSONS OU DE CRUSTACÉS, DE MOLLUSQUES OU D'AUTRES INVERTÉBRÉS AQUATIQUES: Préparations et conserves de poissons; caviar et ses succédanés préparés à partir d'œufs de poisson: autres préparations et conserves de poissons: autres: d'autres poissons</t>
  </si>
  <si>
    <t>CHAPITRE 16 - PRÉPARATIONS DE VIANDE, DE POISSONS, DE CRUSTACÉS, DE MOLLUSQUES, D’AUTRES INVERTÉBRÉS AQUATIQUES OU D’INSECTES: Préparations et conserves de poissons; caviar et ses succédanés préparés à partir d'œufs de poisson: Caviar et ses succédanés: Caviar</t>
  </si>
  <si>
    <t>CHAPITRE 16 - PRÉPARATIONS DE VIANDE, DE POISSONS OU DE CRUSTACÉS, DE MOLLUSQUES OU D'AUTRES INVERTÉBRÉS AQUATIQUES: Préparations et conserves de poissons; caviar et ses succédanés préparés à partir d'œufs de poisson: Caviar et ses succédanés: Caviar</t>
  </si>
  <si>
    <t>Succédanés de caviar</t>
  </si>
  <si>
    <t>CHAPITRE 16 - PRÉPARATIONS DE VIANDE, DE POISSONS, DE CRUSTACÉS, DE MOLLUSQUES, D’AUTRES INVERTÉBRÉS AQUATIQUES OU D’INSECTES: Préparations et conserves de poissons; caviar et ses succédanés préparés à partir d'œufs de poisson: Caviar et ses succédanés: Succédanés de caviar</t>
  </si>
  <si>
    <t>CHAPITRE 16 - PRÉPARATIONS DE VIANDE, DE POISSONS OU DE CRUSTACÉS, DE MOLLUSQUES OU D'AUTRES INVERTÉBRÉS AQUATIQUES: Préparations et conserves de poissons; caviar et ses succédanés préparés à partir d'œufs de poisson: Caviar et ses succédanés: Succédanés de caviar</t>
  </si>
  <si>
    <t>Crabes</t>
  </si>
  <si>
    <t>CHAPITRE 16 - PRÉPARATIONS DE VIANDE, DE POISSONS, DE CRUSTACÉS, DE MOLLUSQUES, D’AUTRES INVERTÉBRÉS AQUATIQUES OU D’INSECTES: Crustacés, mollusques et autres invertébrés aquatiques, préparés ou conservés: Crabes</t>
  </si>
  <si>
    <t>CHAPITRE 16 - PRÉPARATIONS DE VIANDE, DE POISSONS OU DE CRUSTACÉS, DE MOLLUSQUES OU D'AUTRES INVERTÉBRÉS AQUATIQUES: Crustacés, mollusques et autres invertébrés aquatiques, préparés ou conservés: Crabes</t>
  </si>
  <si>
    <t>en emballages immédiats d'un contenu net n'excédant pas 2 kg</t>
  </si>
  <si>
    <t>CHAPITRE 16 - PRÉPARATIONS DE VIANDE, DE POISSONS, DE CRUSTACÉS, DE MOLLUSQUES, D’AUTRES INVERTÉBRÉS AQUATIQUES OU D’INSECTES: Crustacés, mollusques et autres invertébrés aquatiques, préparés ou conservés: Crevettes: Non présentées dans un contenant hermétique: en emballages immédiats d'un contenu net n'excédant pas 2 kg</t>
  </si>
  <si>
    <t>CHAPITRE 16 - PRÉPARATIONS DE VIANDE, DE POISSONS OU DE CRUSTACÉS, DE MOLLUSQUES OU D'AUTRES INVERTÉBRÉS AQUATIQUES: Crustacés, mollusques et autres invertébrés aquatiques, préparés ou conservés: Crevettes: Non présentées dans un contenant hermétique: en emballages immédiats d'un contenu net n'excédant pas 2 kg</t>
  </si>
  <si>
    <t>CHAPITRE 16 - PRÉPARATIONS DE VIANDE, DE POISSONS, DE CRUSTACÉS, DE MOLLUSQUES, D’AUTRES INVERTÉBRÉS AQUATIQUES OU D’INSECTES: Crustacés, mollusques et autres invertébrés aquatiques, préparés ou conservés: Crevettes: Non présentées dans un contenant hermétique: autres</t>
  </si>
  <si>
    <t>CHAPITRE 16 - PRÉPARATIONS DE VIANDE, DE POISSONS OU DE CRUSTACÉS, DE MOLLUSQUES OU D'AUTRES INVERTÉBRÉS AQUATIQUES: Crustacés, mollusques et autres invertébrés aquatiques, préparés ou conservés: Crevettes: Non présentées dans un contenant hermétique: autres</t>
  </si>
  <si>
    <t>CHAPITRE 16 - PRÉPARATIONS DE VIANDE, DE POISSONS, DE CRUSTACÉS, DE MOLLUSQUES, D’AUTRES INVERTÉBRÉS AQUATIQUES OU D’INSECTES: Crustacés, mollusques et autres invertébrés aquatiques, préparés ou conservés: Crevettes: autres</t>
  </si>
  <si>
    <t>CHAPITRE 16 - PRÉPARATIONS DE VIANDE, DE POISSONS OU DE CRUSTACÉS, DE MOLLUSQUES OU D'AUTRES INVERTÉBRÉS AQUATIQUES: Crustacés, mollusques et autres invertébrés aquatiques, préparés ou conservés: Crevettes: autres</t>
  </si>
  <si>
    <t>Chair de homard, cuite, pour la fabrication de beurres de homards, de terrines, de soupes ou de sauces</t>
  </si>
  <si>
    <t>CHAPITRE 16 - PRÉPARATIONS DE VIANDE, DE POISSONS, DE CRUSTACÉS, DE MOLLUSQUES, D’AUTRES INVERTÉBRÉS AQUATIQUES OU D’INSECTES: Crustacés, mollusques et autres invertébrés aquatiques, préparés ou conservés: Homards: Chair de homard, cuite, pour la fabrication de beurres de homards, de terrines, de soupes ou de sauces</t>
  </si>
  <si>
    <t>CHAPITRE 16 - PRÉPARATIONS DE VIANDE, DE POISSONS OU DE CRUSTACÉS, DE MOLLUSQUES OU D'AUTRES INVERTÉBRÉS AQUATIQUES: Crustacés, mollusques et autres invertébrés aquatiques, préparés ou conservés: Homards: Chair de homard, cuite, pour la fabrication de beurres de homards, de terrines, de soupes ou de sauces</t>
  </si>
  <si>
    <t>CHAPITRE 16 - PRÉPARATIONS DE VIANDE, DE POISSONS, DE CRUSTACÉS, DE MOLLUSQUES, D’AUTRES INVERTÉBRÉS AQUATIQUES OU D’INSECTES: Crustacés, mollusques et autres invertébrés aquatiques, préparés ou conservés: Homards: autres</t>
  </si>
  <si>
    <t>CHAPITRE 16 - PRÉPARATIONS DE VIANDE, DE POISSONS OU DE CRUSTACÉS, DE MOLLUSQUES OU D'AUTRES INVERTÉBRÉS AQUATIQUES: Crustacés, mollusques et autres invertébrés aquatiques, préparés ou conservés: Homards: autres</t>
  </si>
  <si>
    <t>autres crustacés</t>
  </si>
  <si>
    <t>CHAPITRE 16 - PRÉPARATIONS DE VIANDE, DE POISSONS, DE CRUSTACÉS, DE MOLLUSQUES, D’AUTRES INVERTÉBRÉS AQUATIQUES OU D’INSECTES: Crustacés, mollusques et autres invertébrés aquatiques, préparés ou conservés: autres crustacés</t>
  </si>
  <si>
    <t>CHAPITRE 16 - PRÉPARATIONS DE VIANDE, DE POISSONS OU DE CRUSTACÉS, DE MOLLUSQUES OU D'AUTRES INVERTÉBRÉS AQUATIQUES: Crustacés, mollusques et autres invertébrés aquatiques, préparés ou conservés: autres crustacés</t>
  </si>
  <si>
    <t>Huîtres</t>
  </si>
  <si>
    <t>CHAPITRE 16 - PRÉPARATIONS DE VIANDE, DE POISSONS, DE CRUSTACÉS, DE MOLLUSQUES, D’AUTRES INVERTÉBRÉS AQUATIQUES OU D’INSECTES: Crustacés, mollusques et autres invertébrés aquatiques, préparés ou conservés: Mollusques: Huîtres</t>
  </si>
  <si>
    <t>CHAPITRE 16 - PRÉPARATIONS DE VIANDE, DE POISSONS OU DE CRUSTACÉS, DE MOLLUSQUES OU D'AUTRES INVERTÉBRÉS AQUATIQUES: Crustacés, mollusques et autres invertébrés aquatiques, préparés ou conservés: Mollusques: Huîtres</t>
  </si>
  <si>
    <t>Coquilles St-Jacques ou peignes, pétoncles ou vanneaux, autres coquillages</t>
  </si>
  <si>
    <t>CHAPITRE 16 - PRÉPARATIONS DE VIANDE, DE POISSONS, DE CRUSTACÉS, DE MOLLUSQUES, D’AUTRES INVERTÉBRÉS AQUATIQUES OU D’INSECTES: Crustacés, mollusques et autres invertébrés aquatiques, préparés ou conservés: Mollusques: Coquilles St-Jacques ou peignes, pétoncles ou vanneaux, autres coquillages</t>
  </si>
  <si>
    <t>CHAPITRE 16 - PRÉPARATIONS DE VIANDE, DE POISSONS OU DE CRUSTACÉS, DE MOLLUSQUES OU D'AUTRES INVERTÉBRÉS AQUATIQUES: Crustacés, mollusques et autres invertébrés aquatiques, préparés ou conservés: Mollusques: Coquilles St-Jacques ou peignes, pétoncles ou vanneaux, autres coquillages</t>
  </si>
  <si>
    <t>CHAPITRE 16 - PRÉPARATIONS DE VIANDE, DE POISSONS, DE CRUSTACÉS, DE MOLLUSQUES, D’AUTRES INVERTÉBRÉS AQUATIQUES OU D’INSECTES: Crustacés, mollusques et autres invertébrés aquatiques, préparés ou conservés: Mollusques: Moules: en récipients hermétiquement clos</t>
  </si>
  <si>
    <t>CHAPITRE 16 - PRÉPARATIONS DE VIANDE, DE POISSONS OU DE CRUSTACÉS, DE MOLLUSQUES OU D'AUTRES INVERTÉBRÉS AQUATIQUES: Crustacés, mollusques et autres invertébrés aquatiques, préparés ou conservés: Mollusques: Moules: en récipients hermétiquement clos</t>
  </si>
  <si>
    <t>CHAPITRE 16 - PRÉPARATIONS DE VIANDE, DE POISSONS, DE CRUSTACÉS, DE MOLLUSQUES, D’AUTRES INVERTÉBRÉS AQUATIQUES OU D’INSECTES: Crustacés, mollusques et autres invertébrés aquatiques, préparés ou conservés: Mollusques: Moules: autres</t>
  </si>
  <si>
    <t>CHAPITRE 16 - PRÉPARATIONS DE VIANDE, DE POISSONS OU DE CRUSTACÉS, DE MOLLUSQUES OU D'AUTRES INVERTÉBRÉS AQUATIQUES: Crustacés, mollusques et autres invertébrés aquatiques, préparés ou conservés: Mollusques: Moules: autres</t>
  </si>
  <si>
    <t>Seiches, sépioles, calmars et encornets</t>
  </si>
  <si>
    <t>CHAPITRE 16 - PRÉPARATIONS DE VIANDE, DE POISSONS, DE CRUSTACÉS, DE MOLLUSQUES, D’AUTRES INVERTÉBRÉS AQUATIQUES OU D’INSECTES: Crustacés, mollusques et autres invertébrés aquatiques, préparés ou conservés: Mollusques: Seiches, sépioles, calmars et encornets</t>
  </si>
  <si>
    <t>CHAPITRE 16 - PRÉPARATIONS DE VIANDE, DE POISSONS OU DE CRUSTACÉS, DE MOLLUSQUES OU D'AUTRES INVERTÉBRÉS AQUATIQUES: Crustacés, mollusques et autres invertébrés aquatiques, préparés ou conservés: Mollusques: Seiches, sépioles, calmars et encornets</t>
  </si>
  <si>
    <t>Poulpes ou pieuvres</t>
  </si>
  <si>
    <t>CHAPITRE 16 - PRÉPARATIONS DE VIANDE, DE POISSONS, DE CRUSTACÉS, DE MOLLUSQUES, D’AUTRES INVERTÉBRÉS AQUATIQUES OU D’INSECTES: Crustacés, mollusques et autres invertébrés aquatiques, préparés ou conservés: Mollusques: Poulpes ou pieuvres</t>
  </si>
  <si>
    <t>CHAPITRE 16 - PRÉPARATIONS DE VIANDE, DE POISSONS OU DE CRUSTACÉS, DE MOLLUSQUES OU D'AUTRES INVERTÉBRÉS AQUATIQUES: Crustacés, mollusques et autres invertébrés aquatiques, préparés ou conservés: Mollusques: Poulpes ou pieuvres</t>
  </si>
  <si>
    <t>Clams, coques et arches</t>
  </si>
  <si>
    <t>CHAPITRE 16 - PRÉPARATIONS DE VIANDE, DE POISSONS, DE CRUSTACÉS, DE MOLLUSQUES, D’AUTRES INVERTÉBRÉS AQUATIQUES OU D’INSECTES: Crustacés, mollusques et autres invertébrés aquatiques, préparés ou conservés: Mollusques: Clams, coques et arches</t>
  </si>
  <si>
    <t>CHAPITRE 16 - PRÉPARATIONS DE VIANDE, DE POISSONS OU DE CRUSTACÉS, DE MOLLUSQUES OU D'AUTRES INVERTÉBRÉS AQUATIQUES: Crustacés, mollusques et autres invertébrés aquatiques, préparés ou conservés: Mollusques: Clams, coques et arches</t>
  </si>
  <si>
    <t>Ormeaux</t>
  </si>
  <si>
    <t>CHAPITRE 16 - PRÉPARATIONS DE VIANDE, DE POISSONS, DE CRUSTACÉS, DE MOLLUSQUES, D’AUTRES INVERTÉBRÉS AQUATIQUES OU D’INSECTES: Crustacés, mollusques et autres invertébrés aquatiques, préparés ou conservés: Mollusques: Ormeaux</t>
  </si>
  <si>
    <t>CHAPITRE 16 - PRÉPARATIONS DE VIANDE, DE POISSONS OU DE CRUSTACÉS, DE MOLLUSQUES OU D'AUTRES INVERTÉBRÉS AQUATIQUES: Crustacés, mollusques et autres invertébrés aquatiques, préparés ou conservés: Mollusques: Ormeaux</t>
  </si>
  <si>
    <t>CHAPITRE 16 - PRÉPARATIONS DE VIANDE, DE POISSONS, DE CRUSTACÉS, DE MOLLUSQUES, D’AUTRES INVERTÉBRÉS AQUATIQUES OU D’INSECTES: Crustacés, mollusques et autres invertébrés aquatiques, préparés ou conservés: Mollusques: Escargots, autres que de mer</t>
  </si>
  <si>
    <t>CHAPITRE 16 - PRÉPARATIONS DE VIANDE, DE POISSONS OU DE CRUSTACÉS, DE MOLLUSQUES OU D'AUTRES INVERTÉBRÉS AQUATIQUES: Crustacés, mollusques et autres invertébrés aquatiques, préparés ou conservés: Mollusques: Escargots, autres que de mer</t>
  </si>
  <si>
    <t>Autres</t>
  </si>
  <si>
    <t>CHAPITRE 16 - PRÉPARATIONS DE VIANDE, DE POISSONS, DE CRUSTACÉS, DE MOLLUSQUES, D’AUTRES INVERTÉBRÉS AQUATIQUES OU D’INSECTES: Crustacés, mollusques et autres invertébrés aquatiques, préparés ou conservés: Mollusques: Autres</t>
  </si>
  <si>
    <t>CHAPITRE 16 - PRÉPARATIONS DE VIANDE, DE POISSONS OU DE CRUSTACÉS, DE MOLLUSQUES OU D'AUTRES INVERTÉBRÉS AQUATIQUES: Crustacés, mollusques et autres invertébrés aquatiques, préparés ou conservés: Mollusques: Autres</t>
  </si>
  <si>
    <t>Bêches-de-mer</t>
  </si>
  <si>
    <t>CHAPITRE 16 - PRÉPARATIONS DE VIANDE, DE POISSONS, DE CRUSTACÉS, DE MOLLUSQUES, D’AUTRES INVERTÉBRÉS AQUATIQUES OU D’INSECTES: Crustacés, mollusques et autres invertébrés aquatiques, préparés ou conservés: autres invertébrés aquatiques: Bêches-de-mer</t>
  </si>
  <si>
    <t>CHAPITRE 16 - PRÉPARATIONS DE VIANDE, DE POISSONS OU DE CRUSTACÉS, DE MOLLUSQUES OU D'AUTRES INVERTÉBRÉS AQUATIQUES: Crustacés, mollusques et autres invertébrés aquatiques, préparés ou conservés: autres invertébrés aquatiques: Bêches-de-mer</t>
  </si>
  <si>
    <t>Oursins</t>
  </si>
  <si>
    <t>CHAPITRE 16 - PRÉPARATIONS DE VIANDE, DE POISSONS, DE CRUSTACÉS, DE MOLLUSQUES, D’AUTRES INVERTÉBRÉS AQUATIQUES OU D’INSECTES: Crustacés, mollusques et autres invertébrés aquatiques, préparés ou conservés: autres invertébrés aquatiques: Oursins</t>
  </si>
  <si>
    <t>CHAPITRE 16 - PRÉPARATIONS DE VIANDE, DE POISSONS OU DE CRUSTACÉS, DE MOLLUSQUES OU D'AUTRES INVERTÉBRÉS AQUATIQUES: Crustacés, mollusques et autres invertébrés aquatiques, préparés ou conservés: autres invertébrés aquatiques: Oursins</t>
  </si>
  <si>
    <t>Méduses</t>
  </si>
  <si>
    <t>CHAPITRE 16 - PRÉPARATIONS DE VIANDE, DE POISSONS, DE CRUSTACÉS, DE MOLLUSQUES, D’AUTRES INVERTÉBRÉS AQUATIQUES OU D’INSECTES: Crustacés, mollusques et autres invertébrés aquatiques, préparés ou conservés: autres invertébrés aquatiques: Méduses</t>
  </si>
  <si>
    <t>CHAPITRE 16 - PRÉPARATIONS DE VIANDE, DE POISSONS OU DE CRUSTACÉS, DE MOLLUSQUES OU D'AUTRES INVERTÉBRÉS AQUATIQUES: Crustacés, mollusques et autres invertébrés aquatiques, préparés ou conservés: autres invertébrés aquatiques: Méduses</t>
  </si>
  <si>
    <t>CHAPITRE 16 - PRÉPARATIONS DE VIANDE, DE POISSONS, DE CRUSTACÉS, DE MOLLUSQUES, D’AUTRES INVERTÉBRÉS AQUATIQUES OU D’INSECTES: Crustacés, mollusques et autres invertébrés aquatiques, préparés ou conservés: autres invertébrés aquatiques: Autres</t>
  </si>
  <si>
    <t>CHAPITRE 16 - PRÉPARATIONS DE VIANDE, DE POISSONS OU DE CRUSTACÉS, DE MOLLUSQUES OU D'AUTRES INVERTÉBRÉS AQUATIQUES: Crustacés, mollusques et autres invertébrés aquatiques, préparés ou conservés: autres invertébrés aquatiques: Autres</t>
  </si>
  <si>
    <t>ayant un titre alcoométrique massique acquis n'excédant pas 11,85 % mas</t>
  </si>
  <si>
    <t>CHAPITRE 20 - PRÉPARATIONS DE LÉGUMES, DE FRUITS OU D'AUTRES PARTIES DE PLANTES: Fruits et autres parties comestibles de plantes, autrement préparés ou conservés, avec ou sans addition de sucre ou d'autres édulcorants ou d'alcool, non dénommés ni compris ailleurs: autres, y compris les mélanges, à l'exception de ceux de la sous-position 200819: Canneberges (Vaccinium macrocarpon,  Vaccinium oxycoccos); airelles rouges (Vaccinium vitis-idaea): avec addition d'alcool: d'une teneur en sucres excédant 9 % en poids: ayant un titre alcoométrique massique acquis n'excédant pas 11,85 % mas</t>
  </si>
  <si>
    <t>CHAPITRE 20 - PRÉPARATIONS DE LÉGUMES, DE FRUITS OU D'AUTRES PARTIES DE PLANTES: Fruits et autres parties comestibles de plantes, autrement préparés ou conservés, avec ou sans addition de sucre ou d'autres édulcorants ou d'alcool, non dénommés ni compris ailleurs: autres, y compris les mélanges, à l'exception de ceux de la sous-position 200819: Airelles rouges (Vaccinium macrocarpon, Vaccinium oxycoccos, Vaccinium vitis-idaea): avec addition d'alcool: d'une teneur en sucres excédant 9 % en poids: ayant un titre alcoométrique massique acquis n'excédant pas 11,85 % mas</t>
  </si>
  <si>
    <t>CHAPITRE 20 - PRÉPARATIONS DE LÉGUMES, DE FRUITS OU D'AUTRES PARTIES DE PLANTES: Fruits et autres parties comestibles de plantes, autrement préparés ou conservés, avec ou sans addition de sucre ou d'autres édulcorants ou d'alcool, non dénommés ni compris ailleurs: autres, y compris les mélanges, à l'exception de ceux de la sous-position 200819: Canneberges (Vaccinium macrocarpon,  Vaccinium oxycoccos); airelles rouges (Vaccinium vitis-idaea): avec addition d'alcool: d'une teneur en sucres excédant 9 % en poids: autres</t>
  </si>
  <si>
    <t>CHAPITRE 20 - PRÉPARATIONS DE LÉGUMES, DE FRUITS OU D'AUTRES PARTIES DE PLANTES: Fruits et autres parties comestibles de plantes, autrement préparés ou conservés, avec ou sans addition de sucre ou d'autres édulcorants ou d'alcool, non dénommés ni compris ailleurs: autres, y compris les mélanges, à l'exception de ceux de la sous-position 200819: Airelles rouges (Vaccinium macrocarpon, Vaccinium oxycoccos, Vaccinium vitis-idaea): avec addition d'alcool: d'une teneur en sucres excédant 9 % en poids: autres</t>
  </si>
  <si>
    <t>CHAPITRE 20 - PRÉPARATIONS DE LÉGUMES, DE FRUITS OU D'AUTRES PARTIES DE PLANTES: Fruits et autres parties comestibles de plantes, autrement préparés ou conservés, avec ou sans addition de sucre ou d'autres édulcorants ou d'alcool, non dénommés ni compris ailleurs: autres, y compris les mélanges, à l'exception de ceux de la sous-position 200819: Canneberges (Vaccinium macrocarpon,  Vaccinium oxycoccos); airelles rouges (Vaccinium vitis-idaea): avec addition d'alcool: autres: ayant un titre alcoométrique massique acquis n'excédant pas 11,85 % mas</t>
  </si>
  <si>
    <t>CHAPITRE 20 - PRÉPARATIONS DE LÉGUMES, DE FRUITS OU D'AUTRES PARTIES DE PLANTES: Fruits et autres parties comestibles de plantes, autrement préparés ou conservés, avec ou sans addition de sucre ou d'autres édulcorants ou d'alcool, non dénommés ni compris ailleurs: autres, y compris les mélanges, à l'exception de ceux de la sous-position 200819: Airelles rouges (Vaccinium macrocarpon, Vaccinium oxycoccos, Vaccinium vitis-idaea): avec addition d'alcool: autres: ayant un titre alcoométrique massique acquis n'excédant pas 11,85 % mas</t>
  </si>
  <si>
    <t>CHAPITRE 20 - PRÉPARATIONS DE LÉGUMES, DE FRUITS OU D'AUTRES PARTIES DE PLANTES: Fruits et autres parties comestibles de plantes, autrement préparés ou conservés, avec ou sans addition de sucre ou d'autres édulcorants ou d'alcool, non dénommés ni compris ailleurs: autres, y compris les mélanges, à l'exception de ceux de la sous-position 200819: Canneberges (Vaccinium macrocarpon,  Vaccinium oxycoccos); airelles rouges (Vaccinium vitis-idaea): avec addition d'alcool: autres: autres</t>
  </si>
  <si>
    <t>CHAPITRE 20 - PRÉPARATIONS DE LÉGUMES, DE FRUITS OU D'AUTRES PARTIES DE PLANTES: Fruits et autres parties comestibles de plantes, autrement préparés ou conservés, avec ou sans addition de sucre ou d'autres édulcorants ou d'alcool, non dénommés ni compris ailleurs: autres, y compris les mélanges, à l'exception de ceux de la sous-position 200819: Airelles rouges (Vaccinium macrocarpon, Vaccinium oxycoccos, Vaccinium vitis-idaea): avec addition d'alcool: autres: autres</t>
  </si>
  <si>
    <t>avec addition de sucre, en emballages immédiats d'un contenu net excédant 1 kg</t>
  </si>
  <si>
    <t>CHAPITRE 20 - PRÉPARATIONS DE LÉGUMES, DE FRUITS OU D'AUTRES PARTIES DE PLANTES: Fruits et autres parties comestibles de plantes, autrement préparés ou conservés, avec ou sans addition de sucre ou d'autres édulcorants ou d'alcool, non dénommés ni compris ailleurs: autres, y compris les mélanges, à l'exception de ceux de la sous-position 200819: Canneberges (Vaccinium macrocarpon,  Vaccinium oxycoccos); airelles rouges (Vaccinium vitis-idaea): sans addition d'alcool: avec addition de sucre, en emballages immédiats d'un contenu net excédant 1 kg</t>
  </si>
  <si>
    <t>CHAPITRE 20 - PRÉPARATIONS DE LÉGUMES, DE FRUITS OU D'AUTRES PARTIES DE PLANTES: Fruits et autres parties comestibles de plantes, autrement préparés ou conservés, avec ou sans addition de sucre ou d'autres édulcorants ou d'alcool, non dénommés ni compris ailleurs: autres, y compris les mélanges, à l'exception de ceux de la sous-position 200819: Airelles rouges (Vaccinium macrocarpon, Vaccinium oxycoccos, Vaccinium vitis-idaea): sans addition d'alcool: avec addition de sucre, en emballages immédiats d'un contenu net excédant 1 kg</t>
  </si>
  <si>
    <t>avec addition de sucre, en emballages immédiats d'un contenu net n'excédant pas 1 kg</t>
  </si>
  <si>
    <t>CHAPITRE 20 - PRÉPARATIONS DE LÉGUMES, DE FRUITS OU D'AUTRES PARTIES DE PLANTES: Fruits et autres parties comestibles de plantes, autrement préparés ou conservés, avec ou sans addition de sucre ou d'autres édulcorants ou d'alcool, non dénommés ni compris ailleurs: autres, y compris les mélanges, à l'exception de ceux de la sous-position 200819: Canneberges (Vaccinium macrocarpon,  Vaccinium oxycoccos); airelles rouges (Vaccinium vitis-idaea): sans addition d'alcool: avec addition de sucre, en emballages immédiats d'un contenu net n'excédant pas 1 kg</t>
  </si>
  <si>
    <t>CHAPITRE 20 - PRÉPARATIONS DE LÉGUMES, DE FRUITS OU D'AUTRES PARTIES DE PLANTES: Fruits et autres parties comestibles de plantes, autrement préparés ou conservés, avec ou sans addition de sucre ou d'autres édulcorants ou d'alcool, non dénommés ni compris ailleurs: autres, y compris les mélanges, à l'exception de ceux de la sous-position 200819: Airelles rouges (Vaccinium macrocarpon, Vaccinium oxycoccos, Vaccinium vitis-idaea): sans addition d'alcool: avec addition de sucre, en emballages immédiats d'un contenu net n'excédant pas 1 kg</t>
  </si>
  <si>
    <t>sans addition de sucre</t>
  </si>
  <si>
    <t>CHAPITRE 20 - PRÉPARATIONS DE LÉGUMES, DE FRUITS OU D'AUTRES PARTIES DE PLANTES: Fruits et autres parties comestibles de plantes, autrement préparés ou conservés, avec ou sans addition de sucre ou d'autres édulcorants ou d'alcool, non dénommés ni compris ailleurs: autres, y compris les mélanges, à l'exception de ceux de la sous-position 200819: Canneberges (Vaccinium macrocarpon,  Vaccinium oxycoccos); airelles rouges (Vaccinium vitis-idaea): sans addition d'alcool: sans addition de sucre</t>
  </si>
  <si>
    <t>CHAPITRE 20 - PRÉPARATIONS DE LÉGUMES, DE FRUITS OU D'AUTRES PARTIES DE PLANTES: Fruits et autres parties comestibles de plantes, autrement préparés ou conservés, avec ou sans addition de sucre ou d'autres édulcorants ou d'alcool, non dénommés ni compris ailleurs: autres, y compris les mélanges, à l'exception de ceux de la sous-position 200819: Airelles rouges (Vaccinium macrocarpon, Vaccinium oxycoccos, Vaccinium vitis-idaea): sans addition d'alcool: sans addition de sucre</t>
  </si>
  <si>
    <t>d'une valeur n'excédant pas 30 €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</si>
  <si>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Jus d'orange: congelés: d'une valeur Brix excédant 67: d'une valeur n'excédant pas 30 € par 100 kg poids net</t>
  </si>
  <si>
    <t>CHAPITRE 20 - PRÉPARATIONS DE LÉGUMES, DE FRUITS OU D'AUTRES PARTIES DE PLANTES: Jus de fruits (y compris les moûts de raisin) ou de légumes, non fermentés, sans addition d'alcool, avec ou sans addition de sucre ou d'autres édulcorants: Jus d'orange: congelés: d'une valeur Brix excédant 67: d'une valeur n'excédant pas 30 €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</si>
  <si>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Jus d'orange: congelés: d'une valeur Brix excédant 67: autres</t>
  </si>
  <si>
    <t>CHAPITRE 20 - PRÉPARATIONS DE LÉGUMES, DE FRUITS OU D'AUTRES PARTIES DE PLANTES: Jus de fruits (y compris les moûts de raisin) ou de légumes, non fermentés, sans addition d'alcool, avec ou sans addition de sucre ou d'autres édulcorants: Jus d'orange: congelés: d'une valeur Brix excédant 67: autres</t>
  </si>
  <si>
    <t>d'une valeur n'excédant pas 30 € par 100 kg poids net et d'une teneur en sucres d'addition excédant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</si>
  <si>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d'orange: congelés: d'une valeur Brix n'excédant pas 67: d'une valeur n'excédant pas 30 € par 100 kg poids net et d'une teneur en sucres d'addition excédant 30 % en poids</t>
  </si>
  <si>
    <t>CHAPITRE 20 - PRÉPARATIONS DE LÉGUMES, DE FRUITS OU D'AUTRES PARTIES DE PLANTES: Jus de fruits (y compris les moûts de raisin) ou de légumes, non fermentés, sans addition d'alcool, avec ou sans addition de sucre ou d'autres édulcorants: Jus d'orange: congelés: d'une valeur Brix n'excédant pas 67: d'une valeur n'excédant pas 30 € par 100 kg poids net et d'une teneur en sucres d'addition excédant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</si>
  <si>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d'orange: congelés: d'une valeur Brix n'excédant pas 67: autres</t>
  </si>
  <si>
    <t>CHAPITRE 20 - PRÉPARATIONS DE LÉGUMES, DE FRUITS OU D'AUTRES PARTIES DE PLANTES: Jus de fruits (y compris les moûts de raisin) ou de légumes, non fermentés, sans addition d'alcool, avec ou sans addition de sucre ou d'autres édulcorants: Jus d'orange: congelés: d'une valeur Brix n'excédant pas 67: autres</t>
  </si>
  <si>
    <t>non congelés, d'une valeur Brix n'excédant pas 20</t>
  </si>
  <si>
    <t>CHAPITRE 20 - PRÉPARATIONS DE LÉGUMES, DE FRUITS OU D'AUTRES PARTIES DE PLANTES: Jus de fruits (y compris les moûts de raisin et l’eau de noix de coco) ou de légumes, non fermentés, sans addition d’alcool, avec ou sans addition de sucre ou d'autres édulcorants: Jus d'orange: non congelés, d'une valeur Brix n'excédant pas 20</t>
  </si>
  <si>
    <t>CHAPITRE 20 - PRÉPARATIONS DE LÉGUMES, DE FRUITS OU D'AUTRES PARTIES DE PLANTES: Jus de fruits (y compris les moûts de raisin) ou de légumes, non fermentés, sans addition d'alcool, avec ou sans addition de sucre ou d'autres édulcorants: Jus d'orange: non congelés, d'une valeur Brix n'excédant pas 20</t>
  </si>
  <si>
    <t>CHAPITRE 20 - PRÉPARATIONS DE LÉGUMES, DE FRUITS OU D'AUTRES PARTIES DE PLANTES: Jus de fruits (y compris les moûts de raisin et l’eau de noix de coco) ou de légumes, non fermentés, sans addition d’alcool, avec ou sans addition de sucre ou d'autres édulcorants: Jus d'orange: autres: d'une valeur Brix excédant 67: d'une valeur n'excédant pas 30 € par 100 kg poids net</t>
  </si>
  <si>
    <t>CHAPITRE 20 - PRÉPARATIONS DE LÉGUMES, DE FRUITS OU D'AUTRES PARTIES DE PLANTES: Jus de fruits (y compris les moûts de raisin) ou de légumes, non fermentés, sans addition d'alcool, avec ou sans addition de sucre ou d'autres édulcorants: Jus d'orange: autres: d'une valeur Brix excédant 67: d'une valeur n'excédant pas 30 €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</si>
  <si>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Jus d'orange: autres: d'une valeur Brix excédant 67: autres</t>
  </si>
  <si>
    <t>CHAPITRE 20 - PRÉPARATIONS DE LÉGUMES, DE FRUITS OU D'AUTRES PARTIES DE PLANTES: Jus de fruits (y compris les moûts de raisin) ou de légumes, non fermentés, sans addition d'alcool, avec ou sans addition de sucre ou d'autres édulcorants: Jus d'orange: autres: d'une valeur Brix excédant 67: autres</t>
  </si>
  <si>
    <t>CHAPITRE 20 - PRÉPARATIONS DE LÉGUMES, DE FRUITS OU D'AUTRES PARTIES DE PLANTES: Jus de fruits (y compris les moûts de raisin et l’eau de noix de coco) ou de légumes, non fermentés, sans addition d’alcool, avec ou sans addition de sucre ou d'autres édulcorants: Jus d'orange: autres: d'une valeur Brix excédant 20 mais n'excédant pas 67: d'une valeur n'excédant pas 30 € par 100 kg poids net et d'une teneur en sucres d'addition excédant 30 % en poids</t>
  </si>
  <si>
    <t>CHAPITRE 20 - PRÉPARATIONS DE LÉGUMES, DE FRUITS OU D'AUTRES PARTIES DE PLANTES: Jus de fruits (y compris les moûts de raisin) ou de légumes, non fermentés, sans addition d'alcool, avec ou sans addition de sucre ou d'autres édulcorants: Jus d'orange: autres: d'une valeur Brix excédant 20 mais n'excédant pas 67: d'une valeur n'excédant pas 30 € par 100 kg poids net et d'une teneur en sucres d'addition excédant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</si>
  <si>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d'orange: autres: d'une valeur Brix excédant 20 mais n'excédant pas 67: autres</t>
  </si>
  <si>
    <t>CHAPITRE 20 - PRÉPARATIONS DE LÉGUMES, DE FRUITS OU D'AUTRES PARTIES DE PLANTES: Jus de fruits (y compris les moûts de raisin) ou de légumes, non fermentés, sans addition d'alcool, avec ou sans addition de sucre ou d'autres édulcorants: Jus d'orange: autres: d'une valeur Brix excédant 20 mais n'excédant pas 67: autres</t>
  </si>
  <si>
    <t>d'une valeur Brix n'excédant pas 20</t>
  </si>
  <si>
    <t>CHAPITRE 20 - PRÉPARATIONS DE LÉGUMES, DE FRUITS OU D'AUTRES PARTIES DE PLANTES: Jus de fruits (y compris les moûts de raisin et l’eau de noix de coco) ou de légumes, non fermentés, sans addition d’alcool, avec ou sans addition de sucre ou d'autres édulcorants: Jus de pamplemousse; jus de pomelo: d'une valeur Brix n'excédant pas 20</t>
  </si>
  <si>
    <t>CHAPITRE 20 - PRÉPARATIONS DE LÉGUMES, DE FRUITS OU D'AUTRES PARTIES DE PLANTES: Jus de fruits (y compris les moûts de raisin) ou de légumes, non fermentés, sans addition d'alcool, avec ou sans addition de sucre ou d'autres édulcorants: Jus de pamplemousse ou de pomelo: d'une valeur Brix n'excédant pas 20</t>
  </si>
  <si>
    <t>CHAPITRE 20 - PRÉPARATIONS DE LÉGUMES, DE FRUITS OU D'AUTRES PARTIES DE PLANTES: Jus de fruits (y compris les moûts de raisin et l’eau de noix de coco) ou de légumes, non fermentés, sans addition d’alcool, avec ou sans addition de sucre ou d'autres édulcorants: Jus de pamplemousse; jus de pomelo: autres: d'une valeur Brix excédant 67: d'une valeur n'excédant pas 30 € par 100 kg poids net</t>
  </si>
  <si>
    <t>CHAPITRE 20 - PRÉPARATIONS DE LÉGUMES, DE FRUITS OU D'AUTRES PARTIES DE PLANTES: Jus de fruits (y compris les moûts de raisin) ou de légumes, non fermentés, sans addition d'alcool, avec ou sans addition de sucre ou d'autres édulcorants: Jus de pamplemousse ou de pomelo: autres: d'une valeur Brix excédant 67: d'une valeur n'excédant pas 30 €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</si>
  <si>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Jus de pamplemousse; jus de pomelo: autres: d'une valeur Brix excédant 67: autres</t>
  </si>
  <si>
    <t>CHAPITRE 20 - PRÉPARATIONS DE LÉGUMES, DE FRUITS OU D'AUTRES PARTIES DE PLANTES: Jus de fruits (y compris les moûts de raisin) ou de légumes, non fermentés, sans addition d'alcool, avec ou sans addition de sucre ou d'autres édulcorants: Jus de pamplemousse ou de pomelo: autres: d'une valeur Brix excédant 67: autres</t>
  </si>
  <si>
    <t>CHAPITRE 20 - PRÉPARATIONS DE LÉGUMES, DE FRUITS OU D'AUTRES PARTIES DE PLANTES: Jus de fruits (y compris les moûts de raisin et l’eau de noix de coco) ou de légumes, non fermentés, sans addition d’alcool, avec ou sans addition de sucre ou d'autres édulcorants: Jus de pamplemousse; jus de pomelo: autres: d'une valeur Brix excédant 20 mais n'excédant pas 67: d'une valeur n'excédant pas 30 € par 100 kg poids net et d'une teneur en sucres d'addition excédant 30 % en poids</t>
  </si>
  <si>
    <t>CHAPITRE 20 - PRÉPARATIONS DE LÉGUMES, DE FRUITS OU D'AUTRES PARTIES DE PLANTES: Jus de fruits (y compris les moûts de raisin) ou de légumes, non fermentés, sans addition d'alcool, avec ou sans addition de sucre ou d'autres édulcorants: Jus de pamplemousse ou de pomelo: autres: d'une valeur Brix excédant 20 mais n'excédant pas 67: d'une valeur n'excédant pas 30 € par 100 kg poids net et d'une teneur en sucres d'addition excédant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</si>
  <si>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de pamplemousse; jus de pomelo: autres: d'une valeur Brix excédant 20 mais n'excédant pas 67: autres</t>
  </si>
  <si>
    <t>CHAPITRE 20 - PRÉPARATIONS DE LÉGUMES, DE FRUITS OU D'AUTRES PARTIES DE PLANTES: Jus de fruits (y compris les moûts de raisin) ou de légumes, non fermentés, sans addition d'alcool, avec ou sans addition de sucre ou d'autres édulcorants: Jus de pamplemousse ou de pomelo: autres: d'une valeur Brix excédant 20 mais n'excédant pas 67: autres</t>
  </si>
  <si>
    <t>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</si>
  <si>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d'une valeur Brix n'excédant pas 20: d'une valeur excédant 30 € par 100 kg poids net: contenant des sucres d'addition</t>
  </si>
  <si>
    <t>CHAPITRE 20 - PRÉPARATIONS DE LÉGUMES, DE FRUITS OU D'AUTRES PARTIES DE PLANTES: Jus de fruits (y compris les moûts de raisin) ou de légumes, non fermentés, sans addition d'alcool, avec ou sans addition de sucre ou d'autres édulcorants: Jus de tout autre agrume: d'une valeur Brix n'excédant pas 20: d'une valeur excédant 30 € par 100 kg poids net: contenant des sucres d'addition</t>
  </si>
  <si>
    <t>ne contenant pas de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</si>
  <si>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d'une valeur Brix n'excédant pas 20: d'une valeur excédant 30 € par 100 kg poids net: ne contenant pas de sucres d'addition</t>
  </si>
  <si>
    <t>CHAPITRE 20 - PRÉPARATIONS DE LÉGUMES, DE FRUITS OU D'AUTRES PARTIES DE PLANTES: Jus de fruits (y compris les moûts de raisin) ou de légumes, non fermentés, sans addition d'alcool, avec ou sans addition de sucre ou d'autres édulcorants: Jus de tout autre agrume: d'une valeur Brix n'excédant pas 20: d'une valeur excédant 30 € par 100 kg poids net: ne contenant pas de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</si>
  <si>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d'une valeur Brix n'excédant pas 20: d'une valeur n'excédant pas 30 € par 100 kg poids net: de citrons: contenant des sucres d'addition</t>
  </si>
  <si>
    <t>CHAPITRE 20 - PRÉPARATIONS DE LÉGUMES, DE FRUITS OU D'AUTRES PARTIES DE PLANTES: Jus de fruits (y compris les moûts de raisin) ou de légumes, non fermentés, sans addition d'alcool, avec ou sans addition de sucre ou d'autres édulcorants: Jus de tout autre agrume: d'une valeur Brix n'excédant pas 20: d'une valeur n'excédant pas 30 € par 100 kg poids net: de citrons: 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</si>
  <si>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d'une valeur Brix n'excédant pas 20: d'une valeur n'excédant pas 30 € par 100 kg poids net: de citrons: ne contenant pas de sucres d'addition</t>
  </si>
  <si>
    <t>CHAPITRE 20 - PRÉPARATIONS DE LÉGUMES, DE FRUITS OU D'AUTRES PARTIES DE PLANTES: Jus de fruits (y compris les moûts de raisin) ou de légumes, non fermentés, sans addition d'alcool, avec ou sans addition de sucre ou d'autres édulcorants: Jus de tout autre agrume: d'une valeur Brix n'excédant pas 20: d'une valeur n'excédant pas 30 € par 100 kg poids net: de citrons: ne contenant pas de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</si>
  <si>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d'une valeur Brix n'excédant pas 20: d'une valeur n'excédant pas 30 € par 100 kg poids net: d'autres agrumes: contenant des sucres d'addition</t>
  </si>
  <si>
    <t>CHAPITRE 20 - PRÉPARATIONS DE LÉGUMES, DE FRUITS OU D'AUTRES PARTIES DE PLANTES: Jus de fruits (y compris les moûts de raisin) ou de légumes, non fermentés, sans addition d'alcool, avec ou sans addition de sucre ou d'autres édulcorants: Jus de tout autre agrume: d'une valeur Brix n'excédant pas 20: d'une valeur n'excédant pas 30 € par 100 kg poids net: d'autres agrumes: 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</si>
  <si>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d'une valeur Brix n'excédant pas 20: d'une valeur n'excédant pas 30 € par 100 kg poids net: d'autres agrumes: ne contenant pas de sucres d'addition</t>
  </si>
  <si>
    <t>CHAPITRE 20 - PRÉPARATIONS DE LÉGUMES, DE FRUITS OU D'AUTRES PARTIES DE PLANTES: Jus de fruits (y compris les moûts de raisin) ou de légumes, non fermentés, sans addition d'alcool, avec ou sans addition de sucre ou d'autres édulcorants: Jus de tout autre agrume: d'une valeur Brix n'excédant pas 20: d'une valeur n'excédant pas 30 € par 100 kg poids net: d'autres agrumes: ne contenant pas de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</si>
  <si>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autres: d'une valeur Brix excédant 67: d'une valeur n'excédant pas 30 € par 100 kg poids net</t>
  </si>
  <si>
    <t>CHAPITRE 20 - PRÉPARATIONS DE LÉGUMES, DE FRUITS OU D'AUTRES PARTIES DE PLANTES: Jus de fruits (y compris les moûts de raisin) ou de légumes, non fermentés, sans addition d'alcool, avec ou sans addition de sucre ou d'autres édulcorants: Jus de tout autre agrume: autres: d'une valeur Brix excédant 67: d'une valeur n'excédant pas 30 €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</si>
  <si>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autres: d'une valeur Brix excédant 67: autres</t>
  </si>
  <si>
    <t>CHAPITRE 20 - PRÉPARATIONS DE LÉGUMES, DE FRUITS OU D'AUTRES PARTIES DE PLANTES: Jus de fruits (y compris les moûts de raisin) ou de légumes, non fermentés, sans addition d'alcool, avec ou sans addition de sucre ou d'autres édulcorants: Jus de tout autre agrume: autres: d'une valeur Brix excédant 67: autres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</si>
  <si>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autres: d'une valeur Brix excédant 20 mais n'excédant pas 67: d'une valeur excédant 30 € par 100 kg poids net: contenant des sucres d'addition</t>
  </si>
  <si>
    <t>CHAPITRE 20 - PRÉPARATIONS DE LÉGUMES, DE FRUITS OU D'AUTRES PARTIES DE PLANTES: Jus de fruits (y compris les moûts de raisin) ou de légumes, non fermentés, sans addition d'alcool, avec ou sans addition de sucre ou d'autres édulcorants: Jus de tout autre agrume: autres: d'une valeur Brix excédant 20 mais n'excédant pas 67: d'une valeur excédant 30 € par 100 kg poids net: 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</si>
  <si>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autres: d'une valeur Brix excédant 20 mais n'excédant pas 67: d'une valeur excédant 30 € par 100 kg poids net: ne contenant pas de sucres d'addition</t>
  </si>
  <si>
    <t>CHAPITRE 20 - PRÉPARATIONS DE LÉGUMES, DE FRUITS OU D'AUTRES PARTIES DE PLANTES: Jus de fruits (y compris les moûts de raisin) ou de légumes, non fermentés, sans addition d'alcool, avec ou sans addition de sucre ou d'autres édulcorants: Jus de tout autre agrume: autres: d'une valeur Brix excédant 20 mais n'excédant pas 67: d'une valeur excédant 30 € par 100 kg poids net: ne contenant pas de sucres d'addition</t>
  </si>
  <si>
    <t>d'une teneur en sucres d'addition excédant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</si>
  <si>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autres: d'une valeur Brix excédant 20 mais n'excédant pas 67: d'une valeur n'excédant pas 30 € par 100 kg poids net: de citrons: d'une teneur en sucres d'addition excédant 30 % en poids</t>
  </si>
  <si>
    <t>CHAPITRE 20 - PRÉPARATIONS DE LÉGUMES, DE FRUITS OU D'AUTRES PARTIES DE PLANTES: Jus de fruits (y compris les moûts de raisin) ou de légumes, non fermentés, sans addition d'alcool, avec ou sans addition de sucre ou d'autres édulcorants: Jus de tout autre agrume: autres: d'une valeur Brix excédant 20 mais n'excédant pas 67: d'une valeur n'excédant pas 30 € par 100 kg poids net: de citrons: d'une teneur en sucres d'addition excédant 30 % en poids</t>
  </si>
  <si>
    <t>d'une teneur en sucres d'addition n'excédant pas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</si>
  <si>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autres: d'une valeur Brix excédant 20 mais n'excédant pas 67: d'une valeur n'excédant pas 30 € par 100 kg poids net: de citrons: d'une teneur en sucres d'addition n'excédant pas 30 % en poids</t>
  </si>
  <si>
    <t>CHAPITRE 20 - PRÉPARATIONS DE LÉGUMES, DE FRUITS OU D'AUTRES PARTIES DE PLANTES: Jus de fruits (y compris les moûts de raisin) ou de légumes, non fermentés, sans addition d'alcool, avec ou sans addition de sucre ou d'autres édulcorants: Jus de tout autre agrume: autres: d'une valeur Brix excédant 20 mais n'excédant pas 67: d'une valeur n'excédant pas 30 € par 100 kg poids net: de citrons: d'une teneur en sucres d'addition n'excédant pas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</si>
  <si>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autres: d'une valeur Brix excédant 20 mais n'excédant pas 67: d'une valeur n'excédant pas 30 € par 100 kg poids net: de citrons: ne contenant pas de sucres d'addition</t>
  </si>
  <si>
    <t>CHAPITRE 20 - PRÉPARATIONS DE LÉGUMES, DE FRUITS OU D'AUTRES PARTIES DE PLANTES: Jus de fruits (y compris les moûts de raisin) ou de légumes, non fermentés, sans addition d'alcool, avec ou sans addition de sucre ou d'autres édulcorants: Jus de tout autre agrume: autres: d'une valeur Brix excédant 20 mais n'excédant pas 67: d'une valeur n'excédant pas 30 € par 100 kg poids net: de citrons: ne contenant pas de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</si>
  <si>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autres: d'une valeur Brix excédant 20 mais n'excédant pas 67: d'une valeur n'excédant pas 30 € par 100 kg poids net: d'autres agrumes: d'une teneur en sucres d'addition excédant 30 % en poids</t>
  </si>
  <si>
    <t>CHAPITRE 20 - PRÉPARATIONS DE LÉGUMES, DE FRUITS OU D'AUTRES PARTIES DE PLANTES: Jus de fruits (y compris les moûts de raisin) ou de légumes, non fermentés, sans addition d'alcool, avec ou sans addition de sucre ou d'autres édulcorants: Jus de tout autre agrume: autres: d'une valeur Brix excédant 20 mais n'excédant pas 67: d'une valeur n'excédant pas 30 € par 100 kg poids net: d'autres agrumes: d'une teneur en sucres d'addition excédant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</si>
  <si>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autres: d'une valeur Brix excédant 20 mais n'excédant pas 67: d'une valeur n'excédant pas 30 € par 100 kg poids net: d'autres agrumes: d'une teneur en sucres d'addition n'excédant pas 30 % en poids</t>
  </si>
  <si>
    <t>CHAPITRE 20 - PRÉPARATIONS DE LÉGUMES, DE FRUITS OU D'AUTRES PARTIES DE PLANTES: Jus de fruits (y compris les moûts de raisin) ou de légumes, non fermentés, sans addition d'alcool, avec ou sans addition de sucre ou d'autres édulcorants: Jus de tout autre agrume: autres: d'une valeur Brix excédant 20 mais n'excédant pas 67: d'une valeur n'excédant pas 30 € par 100 kg poids net: d'autres agrumes: d'une teneur en sucres d'addition n'excédant pas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</si>
  <si>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agrume: autres: d'une valeur Brix excédant 20 mais n'excédant pas 67: d'une valeur n'excédant pas 30 € par 100 kg poids net: d'autres agrumes: ne contenant pas de sucres d'addition</t>
  </si>
  <si>
    <t>CHAPITRE 20 - PRÉPARATIONS DE LÉGUMES, DE FRUITS OU D'AUTRES PARTIES DE PLANTES: Jus de fruits (y compris les moûts de raisin) ou de légumes, non fermentés, sans addition d'alcool, avec ou sans addition de sucre ou d'autres édulcorants: Jus de tout autre agrume: autres: d'une valeur Brix excédant 20 mais n'excédant pas 67: d'une valeur n'excédant pas 30 € par 100 kg poids net: d'autres agrumes: ne contenant pas de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</si>
  <si>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d'ananas: d'une valeur Brix n'excédant pas 20: contenant des sucres d'addition</t>
  </si>
  <si>
    <t>CHAPITRE 20 - PRÉPARATIONS DE LÉGUMES, DE FRUITS OU D'AUTRES PARTIES DE PLANTES: Jus de fruits (y compris les moûts de raisin) ou de légumes, non fermentés, sans addition d'alcool, avec ou sans addition de sucre ou d'autres édulcorants: Jus d'ananas: d'une valeur Brix n'excédant pas 20: 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</si>
  <si>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d'ananas: d'une valeur Brix n'excédant pas 20: ne contenant pas de sucres d'addition</t>
  </si>
  <si>
    <t>CHAPITRE 20 - PRÉPARATIONS DE LÉGUMES, DE FRUITS OU D'AUTRES PARTIES DE PLANTES: Jus de fruits (y compris les moûts de raisin) ou de légumes, non fermentés, sans addition d'alcool, avec ou sans addition de sucre ou d'autres édulcorants: Jus d'ananas: d'une valeur Brix n'excédant pas 20: ne contenant pas de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</si>
  <si>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d'ananas: autres: d'une valeur Brix excédant 67: d'une valeur n'excédant pas 30 € par 100 kg poids net</t>
  </si>
  <si>
    <t>CHAPITRE 20 - PRÉPARATIONS DE LÉGUMES, DE FRUITS OU D'AUTRES PARTIES DE PLANTES: Jus de fruits (y compris les moûts de raisin) ou de légumes, non fermentés, sans addition d'alcool, avec ou sans addition de sucre ou d'autres édulcorants: Jus d'ananas: autres: d'une valeur Brix excédant 67: d'une valeur n'excédant pas 30 €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</si>
  <si>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Jus d'ananas: autres: d'une valeur Brix excédant 67: autres</t>
  </si>
  <si>
    <t>CHAPITRE 20 - PRÉPARATIONS DE LÉGUMES, DE FRUITS OU D'AUTRES PARTIES DE PLANTES: Jus de fruits (y compris les moûts de raisin) ou de légumes, non fermentés, sans addition d'alcool, avec ou sans addition de sucre ou d'autres édulcorants: Jus d'ananas: autres: d'une valeur Brix excédant 67: autres</t>
  </si>
  <si>
    <t>d'une valeur excédant 30 € par 100 kg poids net, 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</si>
  <si>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d'ananas: autres: d'une valeur Brix excédant 20 mais n'excédant pas 67: d'une valeur excédant 30 € par 100 kg poids net, contenant des sucres d'addition</t>
  </si>
  <si>
    <t>CHAPITRE 20 - PRÉPARATIONS DE LÉGUMES, DE FRUITS OU D'AUTRES PARTIES DE PLANTES: Jus de fruits (y compris les moûts de raisin) ou de légumes, non fermentés, sans addition d'alcool, avec ou sans addition de sucre ou d'autres édulcorants: Jus d'ananas: autres: d'une valeur Brix excédant 20 mais n'excédant pas 67: d'une valeur excédant 30 € par 100 kg poids net, 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</si>
  <si>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d'ananas: autres: d'une valeur Brix excédant 20 mais n'excédant pas 67: autres: d'une teneur en sucres d'addition excédant 30 % en poids</t>
  </si>
  <si>
    <t>CHAPITRE 20 - PRÉPARATIONS DE LÉGUMES, DE FRUITS OU D'AUTRES PARTIES DE PLANTES: Jus de fruits (y compris les moûts de raisin) ou de légumes, non fermentés, sans addition d'alcool, avec ou sans addition de sucre ou d'autres édulcorants: Jus d'ananas: autres: d'une valeur Brix excédant 20 mais n'excédant pas 67: autres: d'une teneur en sucres d'addition excédant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</si>
  <si>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d'ananas: autres: d'une valeur Brix excédant 20 mais n'excédant pas 67: autres: d'une teneur en sucres d'addition n'excédant pas 30 % en poids</t>
  </si>
  <si>
    <t>CHAPITRE 20 - PRÉPARATIONS DE LÉGUMES, DE FRUITS OU D'AUTRES PARTIES DE PLANTES: Jus de fruits (y compris les moûts de raisin) ou de légumes, non fermentés, sans addition d'alcool, avec ou sans addition de sucre ou d'autres édulcorants: Jus d'ananas: autres: d'une valeur Brix excédant 20 mais n'excédant pas 67: autres: d'une teneur en sucres d'addition n'excédant pas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</si>
  <si>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d'ananas: autres: d'une valeur Brix excédant 20 mais n'excédant pas 67: autres: ne contenant pas de sucres d'addition</t>
  </si>
  <si>
    <t>CHAPITRE 20 - PRÉPARATIONS DE LÉGUMES, DE FRUITS OU D'AUTRES PARTIES DE PLANTES: Jus de fruits (y compris les moûts de raisin) ou de légumes, non fermentés, sans addition d'alcool, avec ou sans addition de sucre ou d'autres édulcorants: Jus d'ananas: autres: d'une valeur Brix excédant 20 mais n'excédant pas 67: autres: ne contenant pas de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</si>
  <si>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tomate: contenant des sucres d'addition</t>
  </si>
  <si>
    <t>CHAPITRE 20 - PRÉPARATIONS DE LÉGUMES, DE FRUITS OU D'AUTRES PARTIES DE PLANTES: Jus de fruits (y compris les moûts de raisin) ou de légumes, non fermentés, sans addition d'alcool, avec ou sans addition de sucre ou d'autres édulcorants: Jus de tomate: 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</si>
  <si>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tomate: autres</t>
  </si>
  <si>
    <t>CHAPITRE 20 - PRÉPARATIONS DE LÉGUMES, DE FRUITS OU D'AUTRES PARTIES DE PLANTES: Jus de fruits (y compris les moûts de raisin) ou de légumes, non fermentés, sans addition d'alcool, avec ou sans addition de sucre ou d'autres édulcorants: Jus de tomate: autres</t>
  </si>
  <si>
    <t>d'une valeur excédant 18 €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</si>
  <si>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Jus de raisin (y compris les moûts de raisin): d'une valeur Brix n'excédant pas 30: d'une valeur excédant 18 € par 100 kg poids net</t>
  </si>
  <si>
    <t>CHAPITRE 20 - PRÉPARATIONS DE LÉGUMES, DE FRUITS OU D'AUTRES PARTIES DE PLANTES: Jus de fruits (y compris les moûts de raisin) ou de légumes, non fermentés, sans addition d'alcool, avec ou sans addition de sucre ou d'autres édulcorants: Jus de raisin (y compris les moûts de raisin): d'une valeur Brix n'excédant pas 30: d'une valeur excédant 18 € par 100 kg poids net</t>
  </si>
  <si>
    <t>d'une valeur n'excédant pas 18 €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</si>
  <si>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Jus de raisin (y compris les moûts de raisin): d'une valeur Brix n'excédant pas 30: d'une valeur n'excédant pas 18 € par 100 kg poids net</t>
  </si>
  <si>
    <t>CHAPITRE 20 - PRÉPARATIONS DE LÉGUMES, DE FRUITS OU D'AUTRES PARTIES DE PLANTES: Jus de fruits (y compris les moûts de raisin) ou de légumes, non fermentés, sans addition d'alcool, avec ou sans addition de sucre ou d'autres édulcorants: Jus de raisin (y compris les moûts de raisin): d'une valeur Brix n'excédant pas 30: d'une valeur n'excédant pas 18 € par 100 kg poids net</t>
  </si>
  <si>
    <t>d'une valeur n'excédant pas 22 €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</si>
  <si>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Jus de raisin (y compris les moûts de raisin): autres: d'une valeur Brix excédant 67: d'une valeur n'excédant pas 22 € par 100 kg poids net</t>
  </si>
  <si>
    <t>CHAPITRE 20 - PRÉPARATIONS DE LÉGUMES, DE FRUITS OU D'AUTRES PARTIES DE PLANTES: Jus de fruits (y compris les moûts de raisin) ou de légumes, non fermentés, sans addition d'alcool, avec ou sans addition de sucre ou d'autres édulcorants: Jus de raisin (y compris les moûts de raisin): autres: d'une valeur Brix excédant 67: d'une valeur n'excédant pas 22 €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</si>
  <si>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Jus de raisin (y compris les moûts de raisin): autres: d'une valeur Brix excédant 67: autres</t>
  </si>
  <si>
    <t>CHAPITRE 20 - PRÉPARATIONS DE LÉGUMES, DE FRUITS OU D'AUTRES PARTIES DE PLANTES: Jus de fruits (y compris les moûts de raisin) ou de légumes, non fermentés, sans addition d'alcool, avec ou sans addition de sucre ou d'autres édulcorants: Jus de raisin (y compris les moûts de raisin): autres: d'une valeur Brix excédant 67: autres</t>
  </si>
  <si>
    <t>concentrés</t>
  </si>
  <si>
    <t>CHAPITRE 20 - PRÉPARATIONS DE LÉGUMES, DE FRUITS OU D'AUTRES PARTIES DE PLANTES: Jus de fruits (y compris les moûts de raisin et l’eau de noix de coco) ou de légumes, non fermentés, sans addition d’alcool, avec ou sans addition de sucre ou d'autres édulcorants: Jus de raisin (y compris les moûts de raisin): autres: d'une valeur Brix excédant 30 mais n'excédant pas 67: d'une valeur excédant 18 € par 100 kg poids net: concentrés</t>
  </si>
  <si>
    <t>CHAPITRE 20 - PRÉPARATIONS DE LÉGUMES, DE FRUITS OU D'AUTRES PARTIES DE PLANTES: Jus de fruits (y compris les moûts de raisin) ou de légumes, non fermentés, sans addition d'alcool, avec ou sans addition de sucre ou d'autres édulcorants: Jus de raisin (y compris les moûts de raisin): autres: d'une valeur Brix excédant 30 mais n'excédant pas 67: d'une valeur excédant 18 € par 100 kg poids net: concentrés</t>
  </si>
  <si>
    <t>CHAPITRE 20 - PRÉPARATIONS DE LÉGUMES, DE FRUITS OU D'AUTRES PARTIES DE PLANTES: Jus de fruits (y compris les moûts de raisin et l’eau de noix de coco) ou de légumes, non fermentés, sans addition d’alcool, avec ou sans addition de sucre ou d'autres édulcorants: Jus de raisin (y compris les moûts de raisin): autres: d'une valeur Brix excédant 30 mais n'excédant pas 67: d'une valeur excédant 18 € par 100 kg poids net: autres</t>
  </si>
  <si>
    <t>CHAPITRE 20 - PRÉPARATIONS DE LÉGUMES, DE FRUITS OU D'AUTRES PARTIES DE PLANTES: Jus de fruits (y compris les moûts de raisin) ou de légumes, non fermentés, sans addition d'alcool, avec ou sans addition de sucre ou d'autres édulcorants: Jus de raisin (y compris les moûts de raisin): autres: d'une valeur Brix excédant 30 mais n'excédant pas 67: d'une valeur excédant 18 € par 100 kg poids net: autres</t>
  </si>
  <si>
    <t>CHAPITRE 20 - PRÉPARATIONS DE LÉGUMES, DE FRUITS OU D'AUTRES PARTIES DE PLANTES: Jus de fruits (y compris les moûts de raisin et l’eau de noix de coco) ou de légumes, non fermentés, sans addition d’alcool, avec ou sans addition de sucre ou d'autres édulcorants: Jus de raisin (y compris les moûts de raisin): autres: d'une valeur Brix excédant 30 mais n'excédant pas 67: d'une valeur n'excédant pas 18 € par 100 kg poids net: d'une teneur en sucres d'addition excédant 30 % en poids: concentrés</t>
  </si>
  <si>
    <t>CHAPITRE 20 - PRÉPARATIONS DE LÉGUMES, DE FRUITS OU D'AUTRES PARTIES DE PLANTES: Jus de fruits (y compris les moûts de raisin) ou de légumes, non fermentés, sans addition d'alcool, avec ou sans addition de sucre ou d'autres édulcorants: Jus de raisin (y compris les moûts de raisin): autres: d'une valeur Brix excédant 30 mais n'excédant pas 67: d'une valeur n'excédant pas 18 € par 100 kg poids net: d'une teneur en sucres d'addition excédant 30 % en poids: concentrés</t>
  </si>
  <si>
    <t>CHAPITRE 20 - PRÉPARATIONS DE LÉGUMES, DE FRUITS OU D'AUTRES PARTIES DE PLANTES: Jus de fruits (y compris les moûts de raisin et l’eau de noix de coco) ou de légumes, non fermentés, sans addition d’alcool, avec ou sans addition de sucre ou d'autres édulcorants: Jus de raisin (y compris les moûts de raisin): autres: d'une valeur Brix excédant 30 mais n'excédant pas 67: d'une valeur n'excédant pas 18 € par 100 kg poids net: d'une teneur en sucres d'addition excédant 30 % en poids: autres</t>
  </si>
  <si>
    <t>CHAPITRE 20 - PRÉPARATIONS DE LÉGUMES, DE FRUITS OU D'AUTRES PARTIES DE PLANTES: Jus de fruits (y compris les moûts de raisin) ou de légumes, non fermentés, sans addition d'alcool, avec ou sans addition de sucre ou d'autres édulcorants: Jus de raisin (y compris les moûts de raisin): autres: d'une valeur Brix excédant 30 mais n'excédant pas 67: d'une valeur n'excédant pas 18 € par 100 kg poids net: d'une teneur en sucres d'addition excédant 30 % en poids: autres</t>
  </si>
  <si>
    <t>CHAPITRE 20 - PRÉPARATIONS DE LÉGUMES, DE FRUITS OU D'AUTRES PARTIES DE PLANTES: Jus de fruits (y compris les moûts de raisin et l’eau de noix de coco) ou de légumes, non fermentés, sans addition d’alcool, avec ou sans addition de sucre ou d'autres édulcorants: Jus de raisin (y compris les moûts de raisin): autres: d'une valeur Brix excédant 30 mais n'excédant pas 67: d'une valeur n'excédant pas 18 € par 100 kg poids net: autres</t>
  </si>
  <si>
    <t>CHAPITRE 20 - PRÉPARATIONS DE LÉGUMES, DE FRUITS OU D'AUTRES PARTIES DE PLANTES: Jus de fruits (y compris les moûts de raisin) ou de légumes, non fermentés, sans addition d'alcool, avec ou sans addition de sucre ou d'autres édulcorants: Jus de raisin (y compris les moûts de raisin): autres: d'une valeur Brix excédant 30 mais n'excédant pas 67: d'une valeur n'excédant pas 18 € par 100 kg poids net: autres</t>
  </si>
  <si>
    <t>CHAPITRE 20 - PRÉPARATIONS DE LÉGUMES, DE FRUITS OU D'AUTRES PARTIES DE PLANTES: Jus de fruits (y compris les moûts de raisin et l’eau de noix de coco) ou de légumes, non fermentés, sans addition d’alcool, avec ou sans addition de sucre ou d'autres édulcorants: Jus de pomme: d'une valeur Brix n'excédant pas 20: contenant des sucres d'addition</t>
  </si>
  <si>
    <t>CHAPITRE 20 - PRÉPARATIONS DE LÉGUMES, DE FRUITS OU D'AUTRES PARTIES DE PLANTES: Jus de fruits (y compris les moûts de raisin) ou de légumes, non fermentés, sans addition d'alcool, avec ou sans addition de sucre ou d'autres édulcorants: Jus de pomme: d'une valeur Brix n'excédant pas 20: 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</si>
  <si>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pomme: d'une valeur Brix n'excédant pas 20: ne contenant pas de sucres d'addition</t>
  </si>
  <si>
    <t>CHAPITRE 20 - PRÉPARATIONS DE LÉGUMES, DE FRUITS OU D'AUTRES PARTIES DE PLANTES: Jus de fruits (y compris les moûts de raisin) ou de légumes, non fermentés, sans addition d'alcool, avec ou sans addition de sucre ou d'autres édulcorants: Jus de pomme: d'une valeur Brix n'excédant pas 20: ne contenant pas de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</si>
  <si>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pomme: autres: d'une valeur Brix excédant 67: d'une valeur n'excédant pas 22 € par 100 kg poids net</t>
  </si>
  <si>
    <t>CHAPITRE 20 - PRÉPARATIONS DE LÉGUMES, DE FRUITS OU D'AUTRES PARTIES DE PLANTES: Jus de fruits (y compris les moûts de raisin) ou de légumes, non fermentés, sans addition d'alcool, avec ou sans addition de sucre ou d'autres édulcorants: Jus de pomme: autres: d'une valeur Brix excédant 67: d'une valeur n'excédant pas 22 €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</si>
  <si>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Jus de pomme: autres: d'une valeur Brix excédant 67: autres</t>
  </si>
  <si>
    <t>CHAPITRE 20 - PRÉPARATIONS DE LÉGUMES, DE FRUITS OU D'AUTRES PARTIES DE PLANTES: Jus de fruits (y compris les moûts de raisin) ou de légumes, non fermentés, sans addition d'alcool, avec ou sans addition de sucre ou d'autres édulcorants: Jus de pomme: autres: d'une valeur Brix excédant 67: autres</t>
  </si>
  <si>
    <t>d'une valeur excédant 18 € par 100 kg poids net, 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</si>
  <si>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pomme: autres: d'une valeur Brix excédant 20 mais n'excédant pas 67: d'une valeur excédant 18 € par 100 kg poids net, contenant des sucres d'addition</t>
  </si>
  <si>
    <t>CHAPITRE 20 - PRÉPARATIONS DE LÉGUMES, DE FRUITS OU D'AUTRES PARTIES DE PLANTES: Jus de fruits (y compris les moûts de raisin) ou de légumes, non fermentés, sans addition d'alcool, avec ou sans addition de sucre ou d'autres édulcorants: Jus de pomme: autres: d'une valeur Brix excédant 20 mais n'excédant pas 67: d'une valeur excédant 18 € par 100 kg poids net, 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</si>
  <si>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pomme: autres: d'une valeur Brix excédant 20 mais n'excédant pas 67: autres: d'une teneur en sucres d'addition excédant 30 % en poids</t>
  </si>
  <si>
    <t>CHAPITRE 20 - PRÉPARATIONS DE LÉGUMES, DE FRUITS OU D'AUTRES PARTIES DE PLANTES: Jus de fruits (y compris les moûts de raisin) ou de légumes, non fermentés, sans addition d'alcool, avec ou sans addition de sucre ou d'autres édulcorants: Jus de pomme: autres: d'une valeur Brix excédant 20 mais n'excédant pas 67: autres: d'une teneur en sucres d'addition excédant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</si>
  <si>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de pomme: autres: d'une valeur Brix excédant 20 mais n'excédant pas 67: autres: autres</t>
  </si>
  <si>
    <t>CHAPITRE 20 - PRÉPARATIONS DE LÉGUMES, DE FRUITS OU D'AUTRES PARTIES DE PLANTES: Jus de fruits (y compris les moûts de raisin) ou de légumes, non fermentés, sans addition d'alcool, avec ou sans addition de sucre ou d'autres édulcorants: Jus de pomme: autres: d'une valeur Brix excédant 20 mais n'excédant pas 67: autres: autres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</si>
  <si>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Jus de canneberge (Vaccinium macrocarpon, Vaccinium oxycoccos); jus d’airelle rouge (Vaccinium vitis-idaea): d'une valeur Brix excédant 67: d'une valeur n'excédant pas 30 € par 100 kg poids net</t>
  </si>
  <si>
    <t>CHAPITRE 20 - PRÉPARATIONS DE LÉGUMES, DE FRUITS OU D'AUTRES PARTIES DE PLANTES: Jus de fruits (y compris les moûts de raisin) ou de légumes, non fermentés, sans addition d'alcool, avec ou sans addition de sucre ou d'autres édulcorants: Jus de tout autre fruit ou légume: Jus d'airelle rouge (Vaccinium macrocarpon, Vaccinium oxycoccos, Vaccinium vitis-idaea): d'une valeur Brix excédant 67: d'une valeur n'excédant pas 30 €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</si>
  <si>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Jus de canneberge (Vaccinium macrocarpon, Vaccinium oxycoccos); jus d’airelle rouge (Vaccinium vitis-idaea): d'une valeur Brix excédant 67: autres</t>
  </si>
  <si>
    <t>CHAPITRE 20 - PRÉPARATIONS DE LÉGUMES, DE FRUITS OU D'AUTRES PARTIES DE PLANTES: Jus de fruits (y compris les moûts de raisin) ou de légumes, non fermentés, sans addition d'alcool, avec ou sans addition de sucre ou d'autres édulcorants: Jus de tout autre fruit ou légume: Jus d'airelle rouge (Vaccinium macrocarpon, Vaccinium oxycoccos, Vaccinium vitis-idaea): d'une valeur Brix excédant 67: autres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</si>
  <si>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Jus de canneberge (Vaccinium macrocarpon, Vaccinium oxycoccos); jus d’airelle rouge (Vaccinium vitis-idaea): d'une valeur Brix n'excédant pas 67: d'une valeur excédant 30 € par 100 kg poids net, contenant des sucres d'addition</t>
  </si>
  <si>
    <t>CHAPITRE 20 - PRÉPARATIONS DE LÉGUMES, DE FRUITS OU D'AUTRES PARTIES DE PLANTES: Jus de fruits (y compris les moûts de raisin) ou de légumes, non fermentés, sans addition d'alcool, avec ou sans addition de sucre ou d'autres édulcorants: Jus de tout autre fruit ou légume: Jus d'airelle rouge (Vaccinium macrocarpon, Vaccinium oxycoccos, Vaccinium vitis-idaea): d'une valeur Brix n'excédant pas 67: d'une valeur excédant 30 € par 100 kg poids net, 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</si>
  <si>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Jus de canneberge (Vaccinium macrocarpon, Vaccinium oxycoccos); jus d’airelle rouge (Vaccinium vitis-idaea): d'une valeur Brix n'excédant pas 67: autres: d'une teneur en sucres d'addition excédant 30 % en poids</t>
  </si>
  <si>
    <t>CHAPITRE 20 - PRÉPARATIONS DE LÉGUMES, DE FRUITS OU D'AUTRES PARTIES DE PLANTES: Jus de fruits (y compris les moûts de raisin) ou de légumes, non fermentés, sans addition d'alcool, avec ou sans addition de sucre ou d'autres édulcorants: Jus de tout autre fruit ou légume: Jus d'airelle rouge (Vaccinium macrocarpon, Vaccinium oxycoccos, Vaccinium vitis-idaea): d'une valeur Brix n'excédant pas 67: autres: d'une teneur en sucres d'addition excédant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</si>
  <si>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Jus de canneberge (Vaccinium macrocarpon, Vaccinium oxycoccos); jus d’airelle rouge (Vaccinium vitis-idaea): d'une valeur Brix n'excédant pas 67: autres: d'une teneur en sucres d'addition n'excédant pas 30 % en poids</t>
  </si>
  <si>
    <t>CHAPITRE 20 - PRÉPARATIONS DE LÉGUMES, DE FRUITS OU D'AUTRES PARTIES DE PLANTES: Jus de fruits (y compris les moûts de raisin) ou de légumes, non fermentés, sans addition d'alcool, avec ou sans addition de sucre ou d'autres édulcorants: Jus de tout autre fruit ou légume: Jus d'airelle rouge (Vaccinium macrocarpon, Vaccinium oxycoccos, Vaccinium vitis-idaea): d'une valeur Brix n'excédant pas 67: autres: d'une teneur en sucres d'addition n'excédant pas 30 % en poids</t>
  </si>
  <si>
    <t>Jus de fruit de l'espèce Vaccinium macrocarpon</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</si>
  <si>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Jus de canneberge (Vaccinium macrocarpon, Vaccinium oxycoccos); jus d’airelle rouge (Vaccinium vitis-idaea): d'une valeur Brix n'excédant pas 67: autres: ne contenant pas de sucres d'addition: Jus de fruit de l'espèce Vaccinium macrocarpon</t>
  </si>
  <si>
    <t>CHAPITRE 20 - PRÉPARATIONS DE LÉGUMES, DE FRUITS OU D'AUTRES PARTIES DE PLANTES: Jus de fruits (y compris les moûts de raisin) ou de légumes, non fermentés, sans addition d'alcool, avec ou sans addition de sucre ou d'autres édulcorants: Jus de tout autre fruit ou légume: Jus d'airelle rouge (Vaccinium macrocarpon, Vaccinium oxycoccos, Vaccinium vitis-idaea): d'une valeur Brix n'excédant pas 67: autres: ne contenant pas de sucres d'addition: Jus de fruit de l'espèce Vaccinium macrocarpon</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</si>
  <si>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Jus de canneberge (Vaccinium macrocarpon, Vaccinium oxycoccos); jus d’airelle rouge (Vaccinium vitis-idaea): d'une valeur Brix n'excédant pas 67: autres: ne contenant pas de sucres d'addition: autres</t>
  </si>
  <si>
    <t>CHAPITRE 20 - PRÉPARATIONS DE LÉGUMES, DE FRUITS OU D'AUTRES PARTIES DE PLANTES: Jus de fruits (y compris les moûts de raisin) ou de légumes, non fermentés, sans addition d'alcool, avec ou sans addition de sucre ou d'autres édulcorants: Jus de tout autre fruit ou légume: Jus d'airelle rouge (Vaccinium macrocarpon, Vaccinium oxycoccos, Vaccinium vitis-idaea): d'une valeur Brix n'excédant pas 67: autres: ne contenant pas de sucres d'addition: autres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</si>
  <si>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excédant 67: Jus de poires: d'une valeur n'excédant pas 22 € par 100 kg poids net</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</si>
  <si>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excédant 67: Jus de poires: d'une valeur n'excédant pas 22 €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</si>
  <si>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excédant 67: Jus de poires: autres</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</si>
  <si>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excédant 67: Jus de poires: autres</t>
  </si>
  <si>
    <t>Jus de fruits tropicaux</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</si>
  <si>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excédant 67: autres: d'une valeur n'excédant pas 30 € par 100 kg poids net: Jus de fruits tropicaux</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</si>
  <si>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excédant 67: autres: d'une valeur n'excédant pas 30 € par 100 kg poids net: Jus de fruits tropicaux</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</si>
  <si>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excédant 67: autres: d'une valeur n'excédant pas 30 € par 100 kg poids net: autres</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</si>
  <si>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excédant 67: autres: d'une valeur n'excédant pas 30 € par 100 kg poids net: autres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</si>
  <si>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excédant 67: autres: autres: Jus de fruits tropicaux</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</si>
  <si>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excédant 67: autres: autres: Jus de fruits tropicaux</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</si>
  <si>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excédant 67: autres: autres: autres</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</si>
  <si>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excédant 67: autres: autres: autres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</si>
  <si>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n'excédant pas 67: Jus de poires: d'une valeur excédant 18 € par 100 kg poids net, contenant des sucres d'addition</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</si>
  <si>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n'excédant pas 67: Jus de poires: d'une valeur excédant 18 € par 100 kg poids net, 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</si>
  <si>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n'excédant pas 67: Jus de poires: autres: d'une teneur en sucres d'addition excédant 30 % en poids</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</si>
  <si>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n'excédant pas 67: Jus de poires: autres: d'une teneur en sucres d'addition excédant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</si>
  <si>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n'excédant pas 67: Jus de poires: autres: d'une teneur en sucres d'addition n'excédant pas 30 % en poids</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</si>
  <si>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n'excédant pas 67: Jus de poires: autres: d'une teneur en sucres d'addition n'excédant pas 30 % en poids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</si>
  <si>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n'excédant pas 67: Jus de poires: autres: ne contenant pas de sucres d'addition</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</si>
  <si>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n'excédant pas 67: Jus de poires: autres: ne contenant pas de sucres d'addition</t>
  </si>
  <si>
    <t>Jus de cerises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</si>
  <si>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n'excédant pas 67: autres: d'une valeur excédant 30 € par 100 kg poids net, contenant des sucres d'addition: Jus de cerises</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</si>
  <si>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n'excédant pas 67: autres: d'une valeur excédant 30 € par 100 kg poids net, contenant des sucres d'addition: Jus de cerises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</si>
  <si>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n'excédant pas 67: autres: d'une valeur excédant 30 € par 100 kg poids net, contenant des sucres d'addition: Jus de fruits tropicaux</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</si>
  <si>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n'excédant pas 67: autres: d'une valeur excédant 30 € par 100 kg poids net, contenant des sucres d'addition: Jus de fruits tropicaux</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</si>
  <si>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n'excédant pas 67: autres: d'une valeur excédant 30 € par 100 kg poids net, contenant des sucres d'addition: autres</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</si>
  <si>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n'excédant pas 67: autres: d'une valeur excédant 30 € par 100 kg poids net, contenant des sucres d'addition: autres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</si>
  <si>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n'excédant pas 67: autres: autres: d'une teneur en sucres d'addition excédant 30 % en poids: Jus de fruits tropicaux</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</si>
  <si>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n'excédant pas 67: autres: autres: d'une teneur en sucres d'addition excédant 30 % en poids: Jus de fruits tropicaux</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</si>
  <si>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n'excédant pas 67: autres: autres: d'une teneur en sucres d'addition excédant 30 % en poids: autres</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</si>
  <si>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n'excédant pas 67: autres: autres: d'une teneur en sucres d'addition excédant 30 % en poids: autres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</si>
  <si>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n'excédant pas 67: autres: autres: d'une teneur en sucres d'addition n'excédant pas 30 % en poids: Jus de fruits tropicaux</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</si>
  <si>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n'excédant pas 67: autres: autres: d'une teneur en sucres d'addition n'excédant pas 30 % en poids: Jus de fruits tropicaux</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</si>
  <si>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n'excédant pas 67: autres: autres: d'une teneur en sucres d'addition n'excédant pas 30 % en poids: autres</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</si>
  <si>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n'excédant pas 67: autres: autres: d'une teneur en sucres d'addition n'excédant pas 30 % en poids: autres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</si>
  <si>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n'excédant pas 67: autres: autres: ne contenant pas de sucres d'addition: Jus de cerises</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</si>
  <si>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n'excédant pas 67: autres: autres: ne contenant pas de sucres d'addition: Jus de cerises</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</si>
  <si>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n'excédant pas 67: autres: autres: ne contenant pas de sucres d'addition: Jus de fruits tropicaux</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</si>
  <si>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n'excédant pas 67: autres: autres: ne contenant pas de sucres d'addition: Jus de fruits tropicaux</t>
  </si>
  <si>
    <t>CHAPITRE 20 - PRÉPARATIONS DE LÉGUMES, DE FRUITS OU D'AUTRES PARTIES DE PLANTES: Jus de fruits (y compris les moûts de raisin et l’eau de noix de coco) ou de légumes, non fermentés, sans addition d’alcool, avec ou sans addition de sucre ou d'autres édulcorants: Jus de tout autre fruit ou légume: autres: d'une valeur Brix n'excédant pas 67: autres: autres: ne contenant pas de sucres d'addition: autres</t>
  </si>
  <si>
    <t>CHAPITRE 20 - PRÉPARATIONS DE LÉGUMES, DE FRUITS OU D'AUTRES PARTIES DE PLANTES: Jus de fruits (y compris les moûts de raisin) ou de légumes, non fermentés, sans addition d'alcool, avec ou sans addition de sucre ou d'autres édulcorants: Jus de tout autre fruit ou légume: autres: d'une valeur Brix n'excédant pas 67: autres: autres: ne contenant pas de sucres d'addition: autres</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</si>
  <si>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excédant 67: Mélanges de jus de pommes et de jus de poires: d'une valeur n'excédant pas 22 € par 100 kg poids net</t>
  </si>
  <si>
    <t>CHAPITRE 20 - PRÉPARATIONS DE LÉGUMES, DE FRUITS OU D'AUTRES PARTIES DE PLANTES: Jus de fruits (y compris les moûts de raisin) ou de légumes, non fermentés, sans addition d'alcool, avec ou sans addition de sucre ou d'autres édulcorants: Mélanges de jus: d'une valeur Brix excédant 67: Mélanges de jus de pommes et de jus de poires: d'une valeur n'excédant pas 22 €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</si>
  <si>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excédant 67: Mélanges de jus de pommes et de jus de poires: autres</t>
  </si>
  <si>
    <t>CHAPITRE 20 - PRÉPARATIONS DE LÉGUMES, DE FRUITS OU D'AUTRES PARTIES DE PLANTES: Jus de fruits (y compris les moûts de raisin) ou de légumes, non fermentés, sans addition d'alcool, avec ou sans addition de sucre ou d'autres édulcorants: Mélanges de jus: d'une valeur Brix excédant 67: Mélanges de jus de pommes et de jus de poires: autres</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</si>
  <si>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excédant 67: autres: d'une valeur n'excédant pas 30 € par 100 kg poids net</t>
  </si>
  <si>
    <t>CHAPITRE 20 - PRÉPARATIONS DE LÉGUMES, DE FRUITS OU D'AUTRES PARTIES DE PLANTES: Jus de fruits (y compris les moûts de raisin) ou de légumes, non fermentés, sans addition d'alcool, avec ou sans addition de sucre ou d'autres édulcorants: Mélanges de jus: d'une valeur Brix excédant 67: autres: d'une valeur n'excédant pas 30 € par 100 kg poids net</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</si>
  <si>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excédant 67: autres: autres</t>
  </si>
  <si>
    <t>CHAPITRE 20 - PRÉPARATIONS DE LÉGUMES, DE FRUITS OU D'AUTRES PARTIES DE PLANTES: Jus de fruits (y compris les moûts de raisin) ou de légumes, non fermentés, sans addition d'alcool, avec ou sans addition de sucre ou d'autres édulcorants: Mélanges de jus: d'une valeur Brix excédant 67: autres: autres</t>
  </si>
  <si>
    <t>d'une valeur n'excédant pas 18 € par 100 kg poids net et d'une teneur en sucres d'addition excédant 30 % en poids</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</si>
  <si>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Mélanges de jus de pommes et de jus de poires: d'une valeur n'excédant pas 18 € par 100 kg poids net et d'une teneur en sucres d'addition excédant 30 % en poids</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</si>
  <si>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Mélanges de jus de pommes et de jus de poires: d'une valeur n'excédant pas 18 € par 100 kg poids net et d'une teneur en sucres d'addition excédant 30 % en poids</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</si>
  <si>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Mélanges de jus de pommes et de jus de poires: autres</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</si>
  <si>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Mélanges de jus de pommes et de jus de poires: autres</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</si>
  <si>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autres: d'une valeur excédant 30 € par 100 kg poids net: Mélanges de jus d'agrumes et de jus d'ananas: contenant des sucres d'addition</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</si>
  <si>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autres: d'une valeur excédant 30 € par 100 kg poids net: Mélanges de jus d'agrumes et de jus d'ananas: 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</si>
  <si>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autres: d'une valeur excédant 30 € par 100 kg poids net: Mélanges de jus d'agrumes et de jus d'ananas: autres</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</si>
  <si>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autres: d'une valeur excédant 30 € par 100 kg poids net: Mélanges de jus d'agrumes et de jus d'ananas: autres</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</si>
  <si>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autres: d'une valeur excédant 30 € par 100 kg poids net: autres: contenant des sucres d'addition</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</si>
  <si>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autres: d'une valeur excédant 30 € par 100 kg poids net: autres: contenant des sucres d'addition</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</si>
  <si>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autres: d'une valeur excédant 30 € par 100 kg poids net: autres: autres</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</si>
  <si>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autres: d'une valeur excédant 30 € par 100 kg poids net: autres: autres</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</si>
  <si>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autres: d'une valeur n'excédant pas 30 € par 100 kg poids net: Mélanges de jus d'agrumes et de jus d'ananas: d'une teneur en sucres d'addition excédant 30 % en poids</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</si>
  <si>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autres: d'une valeur n'excédant pas 30 € par 100 kg poids net: Mélanges de jus d'agrumes et de jus d'ananas: d'une teneur en sucres d'addition excédant 30 % en poids</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</si>
  <si>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autres: d'une valeur n'excédant pas 30 € par 100 kg poids net: Mélanges de jus d'agrumes et de jus d'ananas: d'une teneur en sucres d'addition n'excédant pas 30 % en poids</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</si>
  <si>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autres: d'une valeur n'excédant pas 30 € par 100 kg poids net: Mélanges de jus d'agrumes et de jus d'ananas: d'une teneur en sucres d'addition n'excédant pas 30 % en poids</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</si>
  <si>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autres: d'une valeur n'excédant pas 30 € par 100 kg poids net: Mélanges de jus d'agrumes et de jus d'ananas: ne contenant pas de sucres d'addition</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</si>
  <si>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autres: d'une valeur n'excédant pas 30 € par 100 kg poids net: Mélanges de jus d'agrumes et de jus d'ananas: ne contenant pas de sucres d'addition</t>
  </si>
  <si>
    <t>Mélanges de jus de fruits tropicaux</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</si>
  <si>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autres: d'une valeur n'excédant pas 30 € par 100 kg poids net: autres: d'une teneur en sucres d'addition excédant 30 % en poids: Mélanges de jus de fruits tropicaux</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</si>
  <si>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autres: d'une valeur n'excédant pas 30 € par 100 kg poids net: autres: d'une teneur en sucres d'addition excédant 30 % en poids: Mélanges de jus de fruits tropicaux</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</si>
  <si>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autres: d'une valeur n'excédant pas 30 € par 100 kg poids net: autres: d'une teneur en sucres d'addition excédant 30 % en poids: autres</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</si>
  <si>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autres: d'une valeur n'excédant pas 30 € par 100 kg poids net: autres: d'une teneur en sucres d'addition excédant 30 % en poids: autres</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</si>
  <si>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autres: d'une valeur n'excédant pas 30 € par 100 kg poids net: autres: d'une teneur en sucres d'addition n'excédant pas 30 % en poids: Mélanges de jus de fruits tropicaux</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</si>
  <si>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autres: d'une valeur n'excédant pas 30 € par 100 kg poids net: autres: d'une teneur en sucres d'addition n'excédant pas 30 % en poids: Mélanges de jus de fruits tropicaux</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</si>
  <si>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autres: d'une valeur n'excédant pas 30 € par 100 kg poids net: autres: d'une teneur en sucres d'addition n'excédant pas 30 % en poids: autres</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</si>
  <si>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autres: d'une valeur n'excédant pas 30 € par 100 kg poids net: autres: d'une teneur en sucres d'addition n'excédant pas 30 % en poids: autres</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</si>
  <si>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autres: d'une valeur n'excédant pas 30 € par 100 kg poids net: autres: ne contenant pas de sucres d'addition: Mélanges de jus de fruits tropicaux</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</si>
  <si>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autres: d'une valeur n'excédant pas 30 € par 100 kg poids net: autres: ne contenant pas de sucres d'addition: Mélanges de jus de fruits tropicaux</t>
  </si>
  <si>
    <t>CHAPITRE 20 - PRÉPARATIONS DE LÉGUMES, DE FRUITS OU D'AUTRES PARTIES DE PLANTES: Jus de fruits (y compris les moûts de raisin et l’eau de noix de coco) ou de légumes, non fermentés, sans addition d’alcool, avec ou sans addition de sucre ou d'autres édulcorants: Mélanges de jus: d'une valeur Brix n'excédant pas 67: autres: d'une valeur n'excédant pas 30 € par 100 kg poids net: autres: ne contenant pas de sucres d'addition: autres</t>
  </si>
  <si>
    <t>CHAPITRE 20 - PRÉPARATIONS DE LÉGUMES, DE FRUITS OU D'AUTRES PARTIES DE PLANTES: Jus de fruits (y compris les moûts de raisin) ou de légumes, non fermentés, sans addition d'alcool, avec ou sans addition de sucre ou d'autres édulcorants: Mélanges de jus: d'une valeur Brix n'excédant pas 67: autres: d'une valeur n'excédant pas 30 € par 100 kg poids net: autres: ne contenant pas de sucres d'addition: autres</t>
  </si>
  <si>
    <t>de graines de coton</t>
  </si>
  <si>
    <t>CHAPITRE 23 - RÉSIDUS ET DÉCHETS DES INDUSTRIES ALIMENTAIRES; ALIMENTS PRÉPARÉS POUR ANIMAUX: Tourteaux et autres résidus solides, même broyés ou agglomérés sous forme de pellets, de l'extraction de graisses ou huiles végétales ou d’origine microbienne, autres que ceux des nos 2304 ou 2305: de graines de coton</t>
  </si>
  <si>
    <t>CHAPITRE 23 - RÉSIDUS ET DÉCHETS DES INDUSTRIES ALIMENTAIRES; ALIMENTS PRÉPARÉS POUR ANIMAUX: Tourteaux et autres résidus solides, même broyés ou agglomérés sous forme de pellets, de l'extraction de graisses ou huiles végétales, autres que ceux des nos 2304 ou 2305: de graines de coton</t>
  </si>
  <si>
    <t>de graines de lin</t>
  </si>
  <si>
    <t>CHAPITRE 23 - RÉSIDUS ET DÉCHETS DES INDUSTRIES ALIMENTAIRES; ALIMENTS PRÉPARÉS POUR ANIMAUX: Tourteaux et autres résidus solides, même broyés ou agglomérés sous forme de pellets, de l'extraction de graisses ou huiles végétales ou d’origine microbienne, autres que ceux des nos 2304 ou 2305: de graines de lin</t>
  </si>
  <si>
    <t>CHAPITRE 23 - RÉSIDUS ET DÉCHETS DES INDUSTRIES ALIMENTAIRES; ALIMENTS PRÉPARÉS POUR ANIMAUX: Tourteaux et autres résidus solides, même broyés ou agglomérés sous forme de pellets, de l'extraction de graisses ou huiles végétales, autres que ceux des nos 2304 ou 2305: de graines de lin</t>
  </si>
  <si>
    <t>de graines de tournesol</t>
  </si>
  <si>
    <t>CHAPITRE 23 - RÉSIDUS ET DÉCHETS DES INDUSTRIES ALIMENTAIRES; ALIMENTS PRÉPARÉS POUR ANIMAUX: Tourteaux et autres résidus solides, même broyés ou agglomérés sous forme de pellets, de l'extraction de graisses ou huiles végétales ou d’origine microbienne, autres que ceux des nos 2304 ou 2305: de graines de tournesol</t>
  </si>
  <si>
    <t>CHAPITRE 23 - RÉSIDUS ET DÉCHETS DES INDUSTRIES ALIMENTAIRES; ALIMENTS PRÉPARÉS POUR ANIMAUX: Tourteaux et autres résidus solides, même broyés ou agglomérés sous forme de pellets, de l'extraction de graisses ou huiles végétales, autres que ceux des nos 2304 ou 2305: de graines de tournesol</t>
  </si>
  <si>
    <t>de graines de navette ou de colza à faible teneur en acide érucique</t>
  </si>
  <si>
    <t>CHAPITRE 23 - RÉSIDUS ET DÉCHETS DES INDUSTRIES ALIMENTAIRES; ALIMENTS PRÉPARÉS POUR ANIMAUX: Tourteaux et autres résidus solides, même broyés ou agglomérés sous forme de pellets, de l'extraction de graisses ou huiles végétales ou d’origine microbienne, autres que ceux des nos 2304 ou 2305: de graines de navette ou de colza: de graines de navette ou de colza à faible teneur en acide érucique</t>
  </si>
  <si>
    <t>CHAPITRE 23 - RÉSIDUS ET DÉCHETS DES INDUSTRIES ALIMENTAIRES; ALIMENTS PRÉPARÉS POUR ANIMAUX: Tourteaux et autres résidus solides, même broyés ou agglomérés sous forme de pellets, de l'extraction de graisses ou huiles végétales, autres que ceux des nos 2304 ou 2305: de graines de navette ou de colza: de graines de navette ou de colza à faible teneur en acide érucique</t>
  </si>
  <si>
    <t>CHAPITRE 23 - RÉSIDUS ET DÉCHETS DES INDUSTRIES ALIMENTAIRES; ALIMENTS PRÉPARÉS POUR ANIMAUX: Tourteaux et autres résidus solides, même broyés ou agglomérés sous forme de pellets, de l'extraction de graisses ou huiles végétales ou d’origine microbienne, autres que ceux des nos 2304 ou 2305: de graines de navette ou de colza: autres</t>
  </si>
  <si>
    <t>CHAPITRE 23 - RÉSIDUS ET DÉCHETS DES INDUSTRIES ALIMENTAIRES; ALIMENTS PRÉPARÉS POUR ANIMAUX: Tourteaux et autres résidus solides, même broyés ou agglomérés sous forme de pellets, de l'extraction de graisses ou huiles végétales, autres que ceux des nos 2304 ou 2305: de graines de navette ou de colza: autres</t>
  </si>
  <si>
    <t>de noix de coco ou de coprah</t>
  </si>
  <si>
    <t>CHAPITRE 23 - RÉSIDUS ET DÉCHETS DES INDUSTRIES ALIMENTAIRES; ALIMENTS PRÉPARÉS POUR ANIMAUX: Tourteaux et autres résidus solides, même broyés ou agglomérés sous forme de pellets, de l'extraction de graisses ou huiles végétales ou d’origine microbienne, autres que ceux des nos 2304 ou 2305: de noix de coco ou de coprah</t>
  </si>
  <si>
    <t>CHAPITRE 23 - RÉSIDUS ET DÉCHETS DES INDUSTRIES ALIMENTAIRES; ALIMENTS PRÉPARÉS POUR ANIMAUX: Tourteaux et autres résidus solides, même broyés ou agglomérés sous forme de pellets, de l'extraction de graisses ou huiles végétales, autres que ceux des nos 2304 ou 2305: de noix de coco ou de coprah</t>
  </si>
  <si>
    <t>de noix ou d'amandes de palmiste</t>
  </si>
  <si>
    <t>CHAPITRE 23 - RÉSIDUS ET DÉCHETS DES INDUSTRIES ALIMENTAIRES; ALIMENTS PRÉPARÉS POUR ANIMAUX: Tourteaux et autres résidus solides, même broyés ou agglomérés sous forme de pellets, de l'extraction de graisses ou huiles végétales ou d’origine microbienne, autres que ceux des nos 2304 ou 2305: de noix ou d'amandes de palmiste</t>
  </si>
  <si>
    <t>CHAPITRE 23 - RÉSIDUS ET DÉCHETS DES INDUSTRIES ALIMENTAIRES; ALIMENTS PRÉPARÉS POUR ANIMAUX: Tourteaux et autres résidus solides, même broyés ou agglomérés sous forme de pellets, de l'extraction de graisses ou huiles végétales, autres que ceux des nos 2304 ou 2305: de noix ou d'amandes de palmiste</t>
  </si>
  <si>
    <t>de germes de maïs</t>
  </si>
  <si>
    <t>CHAPITRE 23 - RÉSIDUS ET DÉCHETS DES INDUSTRIES ALIMENTAIRES; ALIMENTS PRÉPARÉS POUR ANIMAUX: Tourteaux et autres résidus solides, même broyés ou agglomérés sous forme de pellets, de l'extraction de graisses ou huiles végétales ou d’origine microbienne, autres que ceux des nos 2304 ou 2305: autres: de germes de maïs</t>
  </si>
  <si>
    <t>CHAPITRE 23 - RÉSIDUS ET DÉCHETS DES INDUSTRIES ALIMENTAIRES; ALIMENTS PRÉPARÉS POUR ANIMAUX: Tourteaux et autres résidus solides, même broyés ou agglomérés sous forme de pellets, de l'extraction de graisses ou huiles végétales, autres que ceux des nos 2304 ou 2305: autres: de germes de maïs</t>
  </si>
  <si>
    <t>ayant une teneur en poids d'huile d'olive inférieure ou égale à 3 %</t>
  </si>
  <si>
    <t>CHAPITRE 23 - RÉSIDUS ET DÉCHETS DES INDUSTRIES ALIMENTAIRES; ALIMENTS PRÉPARÉS POUR ANIMAUX: Tourteaux et autres résidus solides, même broyés ou agglomérés sous forme de pellets, de l'extraction de graisses ou huiles végétales ou d’origine microbienne, autres que ceux des nos 2304 ou 2305: autres: autres: Grignons d'olives et autres résidus de l'extraction de l'huile d'olive: ayant une teneur en poids d'huile d'olive inférieure ou égale à 3 %</t>
  </si>
  <si>
    <t>CHAPITRE 23 - RÉSIDUS ET DÉCHETS DES INDUSTRIES ALIMENTAIRES; ALIMENTS PRÉPARÉS POUR ANIMAUX: Tourteaux et autres résidus solides, même broyés ou agglomérés sous forme de pellets, de l'extraction de graisses ou huiles végétales, autres que ceux des nos 2304 ou 2305: autres: autres: Grignons d'olives et autres résidus de l'extraction de l'huile d'olive: ayant une teneur en poids d'huile d'olive inférieure ou égale à 3 %</t>
  </si>
  <si>
    <t>ayant une teneur en poids d'huile d'olive supérieure à 3 %</t>
  </si>
  <si>
    <t>CHAPITRE 23 - RÉSIDUS ET DÉCHETS DES INDUSTRIES ALIMENTAIRES; ALIMENTS PRÉPARÉS POUR ANIMAUX: Tourteaux et autres résidus solides, même broyés ou agglomérés sous forme de pellets, de l'extraction de graisses ou huiles végétales ou d’origine microbienne, autres que ceux des nos 2304 ou 2305: autres: autres: Grignons d'olives et autres résidus de l'extraction de l'huile d'olive: ayant une teneur en poids d'huile d'olive supérieure à 3 %</t>
  </si>
  <si>
    <t>CHAPITRE 23 - RÉSIDUS ET DÉCHETS DES INDUSTRIES ALIMENTAIRES; ALIMENTS PRÉPARÉS POUR ANIMAUX: Tourteaux et autres résidus solides, même broyés ou agglomérés sous forme de pellets, de l'extraction de graisses ou huiles végétales, autres que ceux des nos 2304 ou 2305: autres: autres: Grignons d'olives et autres résidus de l'extraction de l'huile d'olive: ayant une teneur en poids d'huile d'olive supérieure à 3 %</t>
  </si>
  <si>
    <t>CHAPITRE 23 - RÉSIDUS ET DÉCHETS DES INDUSTRIES ALIMENTAIRES; ALIMENTS PRÉPARÉS POUR ANIMAUX: Tourteaux et autres résidus solides, même broyés ou agglomérés sous forme de pellets, de l'extraction de graisses ou huiles végétales ou d’origine microbienne, autres que ceux des nos 2304 ou 2305: autres: autres: autres</t>
  </si>
  <si>
    <t>CHAPITRE 23 - RÉSIDUS ET DÉCHETS DES INDUSTRIES ALIMENTAIRES; ALIMENTS PRÉPARÉS POUR ANIMAUX: Tourteaux et autres résidus solides, même broyés ou agglomérés sous forme de pellets, de l'extraction de graisses ou huiles végétales, autres que ceux des nos 2304 ou 2305: autres: autres: autres</t>
  </si>
  <si>
    <t>Tabacs light air cured</t>
  </si>
  <si>
    <t>CHAPITRE 24 - TABACS ET SUCCÉDANÉS DE TABAC FABRIQUÉS; PRODUITS, CONTENANT OU NON DE LA NICOTINE, DESTINÉS A UNE INHALATION SANS COMBUSTION; AUTRES PRODUITS CONTENANT DE LA NICOTINE DESTINÉS A L’ABSORPTION DE LA NICOTINE DANS LE CORPS HUMAIN: Tabacs bruts ou non fabriqués; déchets de tabac: Tabacs non écotés: Tabacs light air cured</t>
  </si>
  <si>
    <t>CHAPITRE 24 - TABACS ET SUCCÉDANÉS DE TABAC FABRIQUÉS: Tabacs bruts ou non fabriqués; déchets de tabac: Tabacs non écotés: Tabacs light air cured</t>
  </si>
  <si>
    <t>Tabacs sun cured du type oriental</t>
  </si>
  <si>
    <t>CHAPITRE 24 - TABACS ET SUCCÉDANÉS DE TABAC FABRIQUÉS; PRODUITS, CONTENANT OU NON DE LA NICOTINE, DESTINÉS A UNE INHALATION SANS COMBUSTION; AUTRES PRODUITS CONTENANT DE LA NICOTINE DESTINÉS A L’ABSORPTION DE LA NICOTINE DANS LE CORPS HUMAIN: Tabacs bruts ou non fabriqués; déchets de tabac: Tabacs non écotés: Tabacs sun cured du type oriental</t>
  </si>
  <si>
    <t>CHAPITRE 24 - TABACS ET SUCCÉDANÉS DE TABAC FABRIQUÉS: Tabacs bruts ou non fabriqués; déchets de tabac: Tabacs non écotés: Tabacs sun cured du type oriental</t>
  </si>
  <si>
    <t>Tabacs dark air cured</t>
  </si>
  <si>
    <t>CHAPITRE 24 - TABACS ET SUCCÉDANÉS DE TABAC FABRIQUÉS; PRODUITS, CONTENANT OU NON DE LA NICOTINE, DESTINÉS A UNE INHALATION SANS COMBUSTION; AUTRES PRODUITS CONTENANT DE LA NICOTINE DESTINÉS A L’ABSORPTION DE LA NICOTINE DANS LE CORPS HUMAIN: Tabacs bruts ou non fabriqués; déchets de tabac: Tabacs non écotés: Tabacs dark air cured</t>
  </si>
  <si>
    <t>CHAPITRE 24 - TABACS ET SUCCÉDANÉS DE TABAC FABRIQUÉS: Tabacs bruts ou non fabriqués; déchets de tabac: Tabacs non écotés: Tabacs dark air cured</t>
  </si>
  <si>
    <t>Tabacs flue cured</t>
  </si>
  <si>
    <t>CHAPITRE 24 - TABACS ET SUCCÉDANÉS DE TABAC FABRIQUÉS; PRODUITS, CONTENANT OU NON DE LA NICOTINE, DESTINÉS A UNE INHALATION SANS COMBUSTION; AUTRES PRODUITS CONTENANT DE LA NICOTINE DESTINÉS A L’ABSORPTION DE LA NICOTINE DANS LE CORPS HUMAIN: Tabacs bruts ou non fabriqués; déchets de tabac: Tabacs non écotés: Tabacs flue cured</t>
  </si>
  <si>
    <t>CHAPITRE 24 - TABACS ET SUCCÉDANÉS DE TABAC FABRIQUÉS: Tabacs bruts ou non fabriqués; déchets de tabac: Tabacs non écotés: Tabacs flue cured</t>
  </si>
  <si>
    <t>CHAPITRE 24 - TABACS ET SUCCÉDANÉS DE TABAC FABRIQUÉS; PRODUITS, CONTENANT OU NON DE LA NICOTINE, DESTINÉS A UNE INHALATION SANS COMBUSTION; AUTRES PRODUITS CONTENANT DE LA NICOTINE DESTINÉS A L’ABSORPTION DE LA NICOTINE DANS LE CORPS HUMAIN: Tabacs bruts ou non fabriqués; déchets de tabac: Tabacs non écotés: autres</t>
  </si>
  <si>
    <t>CHAPITRE 24 - TABACS ET SUCCÉDANÉS DE TABAC FABRIQUÉS: Tabacs bruts ou non fabriqués; déchets de tabac: Tabacs non écotés: autres</t>
  </si>
  <si>
    <t>CHAPITRE 24 - TABACS ET SUCCÉDANÉS DE TABAC FABRIQUÉS; PRODUITS, CONTENANT OU NON DE LA NICOTINE, DESTINÉS A UNE INHALATION SANS COMBUSTION; AUTRES PRODUITS CONTENANT DE LA NICOTINE DESTINÉS A L’ABSORPTION DE LA NICOTINE DANS LE CORPS HUMAIN: Tabacs bruts ou non fabriqués; déchets de tabac: Tabacs partiellement ou totalement écotés: Tabacs light air cured</t>
  </si>
  <si>
    <t>CHAPITRE 24 - TABACS ET SUCCÉDANÉS DE TABAC FABRIQUÉS: Tabacs bruts ou non fabriqués; déchets de tabac: Tabacs partiellement ou totalement écotés: Tabacs light air cured</t>
  </si>
  <si>
    <t>CHAPITRE 24 - TABACS ET SUCCÉDANÉS DE TABAC FABRIQUÉS; PRODUITS, CONTENANT OU NON DE LA NICOTINE, DESTINÉS A UNE INHALATION SANS COMBUSTION; AUTRES PRODUITS CONTENANT DE LA NICOTINE DESTINÉS A L’ABSORPTION DE LA NICOTINE DANS LE CORPS HUMAIN: Tabacs bruts ou non fabriqués; déchets de tabac: Tabacs partiellement ou totalement écotés: Tabacs sun cured du type oriental</t>
  </si>
  <si>
    <t>CHAPITRE 24 - TABACS ET SUCCÉDANÉS DE TABAC FABRIQUÉS: Tabacs bruts ou non fabriqués; déchets de tabac: Tabacs partiellement ou totalement écotés: Tabacs sun cured du type oriental</t>
  </si>
  <si>
    <t>CHAPITRE 24 - TABACS ET SUCCÉDANÉS DE TABAC FABRIQUÉS; PRODUITS, CONTENANT OU NON DE LA NICOTINE, DESTINÉS A UNE INHALATION SANS COMBUSTION; AUTRES PRODUITS CONTENANT DE LA NICOTINE DESTINÉS A L’ABSORPTION DE LA NICOTINE DANS LE CORPS HUMAIN: Tabacs bruts ou non fabriqués; déchets de tabac: Tabacs partiellement ou totalement écotés: Tabacs dark air cured</t>
  </si>
  <si>
    <t>CHAPITRE 24 - TABACS ET SUCCÉDANÉS DE TABAC FABRIQUÉS: Tabacs bruts ou non fabriqués; déchets de tabac: Tabacs partiellement ou totalement écotés: Tabacs dark air cured</t>
  </si>
  <si>
    <t>CHAPITRE 24 - TABACS ET SUCCÉDANÉS DE TABAC FABRIQUÉS; PRODUITS, CONTENANT OU NON DE LA NICOTINE, DESTINÉS A UNE INHALATION SANS COMBUSTION; AUTRES PRODUITS CONTENANT DE LA NICOTINE DESTINÉS A L’ABSORPTION DE LA NICOTINE DANS LE CORPS HUMAIN: Tabacs bruts ou non fabriqués; déchets de tabac: Tabacs partiellement ou totalement écotés: Tabacs flue cured</t>
  </si>
  <si>
    <t>CHAPITRE 24 - TABACS ET SUCCÉDANÉS DE TABAC FABRIQUÉS: Tabacs bruts ou non fabriqués; déchets de tabac: Tabacs partiellement ou totalement écotés: Tabacs flue cured</t>
  </si>
  <si>
    <t>CHAPITRE 24 - TABACS ET SUCCÉDANÉS DE TABAC FABRIQUÉS; PRODUITS, CONTENANT OU NON DE LA NICOTINE, DESTINÉS A UNE INHALATION SANS COMBUSTION; AUTRES PRODUITS CONTENANT DE LA NICOTINE DESTINÉS A L’ABSORPTION DE LA NICOTINE DANS LE CORPS HUMAIN: Tabacs bruts ou non fabriqués; déchets de tabac: Tabacs partiellement ou totalement écotés: autres</t>
  </si>
  <si>
    <t>CHAPITRE 24 - TABACS ET SUCCÉDANÉS DE TABAC FABRIQUÉS: Tabacs bruts ou non fabriqués; déchets de tabac: Tabacs partiellement ou totalement écotés: autres</t>
  </si>
  <si>
    <t>Déchets de tabac</t>
  </si>
  <si>
    <t>CHAPITRE 24 - TABACS ET SUCCÉDANÉS DE TABAC FABRIQUÉS; PRODUITS, CONTENANT OU NON DE LA NICOTINE, DESTINÉS A UNE INHALATION SANS COMBUSTION; AUTRES PRODUITS CONTENANT DE LA NICOTINE DESTINÉS A L’ABSORPTION DE LA NICOTINE DANS LE CORPS HUMAIN: Tabacs bruts ou non fabriqués; déchets de tabac: Déchets de tabac</t>
  </si>
  <si>
    <t>CHAPITRE 24 - TABACS ET SUCCÉDANÉS DE TABAC FABRIQUÉS: Tabacs bruts ou non fabriqués; déchets de tabac: Déchets de tabac</t>
  </si>
  <si>
    <t>Cigares (y compris ceux à bouts coupés) et cigarillos, contenant du tabac</t>
  </si>
  <si>
    <t>CHAPITRE 24 - TABACS ET SUCCÉDANÉS DE TABAC FABRIQUÉS; PRODUITS, CONTENANT OU NON DE LA NICOTINE, DESTINÉS A UNE INHALATION SANS COMBUSTION; AUTRES PRODUITS CONTENANT DE LA NICOTINE DESTINÉS A L’ABSORPTION DE LA NICOTINE DANS LE CORPS HUMAIN: Cigares (y compris ceux à bouts coupés), cigarillos et cigarettes, en tabac ou en succédanés de tabac: Cigares (y compris ceux à bouts coupés) et cigarillos, contenant du tabac</t>
  </si>
  <si>
    <t>CHAPITRE 24 - TABACS ET SUCCÉDANÉS DE TABAC FABRIQUÉS: Cigares (y compris ceux à bouts coupés), cigarillos et cigarettes, en tabac ou en succédanés de tabac: Cigares (y compris ceux à bouts coupés) et cigarillos, contenant du tabac</t>
  </si>
  <si>
    <t>contenant des girofles</t>
  </si>
  <si>
    <t>CHAPITRE 24 - TABACS ET SUCCÉDANÉS DE TABAC FABRIQUÉS; PRODUITS, CONTENANT OU NON DE LA NICOTINE, DESTINÉS A UNE INHALATION SANS COMBUSTION; AUTRES PRODUITS CONTENANT DE LA NICOTINE DESTINÉS A L’ABSORPTION DE LA NICOTINE DANS LE CORPS HUMAIN: Cigares (y compris ceux à bouts coupés), cigarillos et cigarettes, en tabac ou en succédanés de tabac: Cigarettes contenant du tabac: contenant des girofles</t>
  </si>
  <si>
    <t>CHAPITRE 24 - TABACS ET SUCCÉDANÉS DE TABAC FABRIQUÉS: Cigares (y compris ceux à bouts coupés), cigarillos et cigarettes, en tabac ou en succédanés de tabac: Cigarettes contenant du tabac: contenant des girofles</t>
  </si>
  <si>
    <t>CHAPITRE 24 - TABACS ET SUCCÉDANÉS DE TABAC FABRIQUÉS; PRODUITS, CONTENANT OU NON DE LA NICOTINE, DESTINÉS A UNE INHALATION SANS COMBUSTION; AUTRES PRODUITS CONTENANT DE LA NICOTINE DESTINÉS A L’ABSORPTION DE LA NICOTINE DANS LE CORPS HUMAIN: Cigares (y compris ceux à bouts coupés), cigarillos et cigarettes, en tabac ou en succédanés de tabac: Cigarettes contenant du tabac: autres</t>
  </si>
  <si>
    <t>CHAPITRE 24 - TABACS ET SUCCÉDANÉS DE TABAC FABRIQUÉS: Cigares (y compris ceux à bouts coupés), cigarillos et cigarettes, en tabac ou en succédanés de tabac: Cigarettes contenant du tabac: autres</t>
  </si>
  <si>
    <t>CHAPITRE 24 - TABACS ET SUCCÉDANÉS DE TABAC FABRIQUÉS; PRODUITS, CONTENANT OU NON DE LA NICOTINE, DESTINÉS A UNE INHALATION SANS COMBUSTION; AUTRES PRODUITS CONTENANT DE LA NICOTINE DESTINÉS A L’ABSORPTION DE LA NICOTINE DANS LE CORPS HUMAIN: Cigares (y compris ceux à bouts coupés), cigarillos et cigarettes, en tabac ou en succédanés de tabac: autres</t>
  </si>
  <si>
    <t>CHAPITRE 24 - TABACS ET SUCCÉDANÉS DE TABAC FABRIQUÉS: Cigares (y compris ceux à bouts coupés), cigarillos et cigarettes, en tabac ou en succédanés de tabac: autres</t>
  </si>
  <si>
    <t>Tabac pour pipe à eau visé à la note 1 de sous-position du présent chapitre</t>
  </si>
  <si>
    <t>CHAPITRE 24 - TABACS ET SUCCÉDANÉS DE TABAC FABRIQUÉS; PRODUITS, CONTENANT OU NON DE LA NICOTINE, DESTINÉS A UNE INHALATION SANS COMBUSTION; AUTRES PRODUITS CONTENANT DE LA NICOTINE DESTINÉS A L’ABSORPTION DE LA NICOTINE DANS LE CORPS HUMAIN: Autres tabacs et succédanés de tabac, fabriqués; tabacs « homogénéisés » ou « reconstitués »; extraits et sauces de tabac: Tabac à fumer, même contenant des succédanés de tabac en toute proportion: Tabac pour pipe à eau visé à la note 1 de sous-position du présent chapitre</t>
  </si>
  <si>
    <t>CHAPITRE 24 - TABACS ET SUCCÉDANÉS DE TABAC FABRIQUÉS: Autres tabacs et succédanés de tabac, fabriqués; tabacs « homogénéisés » ou « reconstitués »; extraits et sauces de tabac: Tabac à fumer, même contenant des succédanés de tabac en toute proportion: Tabac pour pipe à eau visé à la note 1 de sous-position du présent chapitre</t>
  </si>
  <si>
    <t>en emballages immédiats d'un contenu net n'excédant pas 500 g</t>
  </si>
  <si>
    <t>CHAPITRE 24 - TABACS ET SUCCÉDANÉS DE TABAC FABRIQUÉS; PRODUITS, CONTENANT OU NON DE LA NICOTINE, DESTINÉS A UNE INHALATION SANS COMBUSTION; AUTRES PRODUITS CONTENANT DE LA NICOTINE DESTINÉS A L’ABSORPTION DE LA NICOTINE DANS LE CORPS HUMAIN: Autres tabacs et succédanés de tabac, fabriqués; tabacs « homogénéisés » ou « reconstitués »; extraits et sauces de tabac: Tabac à fumer, même contenant des succédanés de tabac en toute proportion: autres: en emballages immédiats d'un contenu net n'excédant pas 500 g</t>
  </si>
  <si>
    <t>CHAPITRE 24 - TABACS ET SUCCÉDANÉS DE TABAC FABRIQUÉS: Autres tabacs et succédanés de tabac, fabriqués; tabacs « homogénéisés » ou « reconstitués »; extraits et sauces de tabac: Tabac à fumer, même contenant des succédanés de tabac en toute proportion: autres: en emballages immédiats d'un contenu net n'excédant pas 500 g</t>
  </si>
  <si>
    <t>CHAPITRE 24 - TABACS ET SUCCÉDANÉS DE TABAC FABRIQUÉS; PRODUITS, CONTENANT OU NON DE LA NICOTINE, DESTINÉS A UNE INHALATION SANS COMBUSTION; AUTRES PRODUITS CONTENANT DE LA NICOTINE DESTINÉS A L’ABSORPTION DE LA NICOTINE DANS LE CORPS HUMAIN: Autres tabacs et succédanés de tabac, fabriqués; tabacs « homogénéisés » ou « reconstitués »; extraits et sauces de tabac: Tabac à fumer, même contenant des succédanés de tabac en toute proportion: autres: autres</t>
  </si>
  <si>
    <t>CHAPITRE 24 - TABACS ET SUCCÉDANÉS DE TABAC FABRIQUÉS: Autres tabacs et succédanés de tabac, fabriqués; tabacs « homogénéisés » ou « reconstitués »; extraits et sauces de tabac: Tabac à fumer, même contenant des succédanés de tabac en toute proportion: autres: autres</t>
  </si>
  <si>
    <t>Tabacs « homogénéisés » ou « reconstitués »</t>
  </si>
  <si>
    <t>CHAPITRE 24 - TABACS ET SUCCÉDANÉS DE TABAC FABRIQUÉS; PRODUITS, CONTENANT OU NON DE LA NICOTINE, DESTINÉS A UNE INHALATION SANS COMBUSTION; AUTRES PRODUITS CONTENANT DE LA NICOTINE DESTINÉS A L’ABSORPTION DE LA NICOTINE DANS LE CORPS HUMAIN: Autres tabacs et succédanés de tabac, fabriqués; tabacs « homogénéisés » ou « reconstitués »; extraits et sauces de tabac: autres: Tabacs « homogénéisés » ou « reconstitués »</t>
  </si>
  <si>
    <t>CHAPITRE 24 - TABACS ET SUCCÉDANÉS DE TABAC FABRIQUÉS: Autres tabacs et succédanés de tabac, fabriqués; tabacs « homogénéisés » ou « reconstitués »; extraits et sauces de tabac: autres: Tabacs « homogénéisés » ou « reconstitués »</t>
  </si>
  <si>
    <t>Tabac à mâcher et tabac à priser (à consommer par voie nasale)</t>
  </si>
  <si>
    <t>CHAPITRE 24 - TABACS ET SUCCÉDANÉS DE TABAC FABRIQUÉS; PRODUITS, CONTENANT OU NON DE LA NICOTINE, DESTINÉS A UNE INHALATION SANS COMBUSTION; AUTRES PRODUITS CONTENANT DE LA NICOTINE DESTINÉS A L’ABSORPTION DE LA NICOTINE DANS LE CORPS HUMAIN: Autres tabacs et succédanés de tabac, fabriqués; tabacs « homogénéisés » ou « reconstitués »; extraits et sauces de tabac: autres: autres: Tabac à mâcher et tabac à priser (à consommer par voie nasale)</t>
  </si>
  <si>
    <t>CHAPITRE 24 - TABACS ET SUCCÉDANÉS DE TABAC FABRIQUÉS: Autres tabacs et succédanés de tabac, fabriqués; tabacs « homogénéisés » ou « reconstitués »; extraits et sauces de tabac: autres: autres: Tabac à mâcher et tabac à priser (à consommer par voie nasale)</t>
  </si>
  <si>
    <t>CHAPITRE 24 - TABACS ET SUCCÉDANÉS DE TABAC FABRIQUÉS; PRODUITS, CONTENANT OU NON DE LA NICOTINE, DESTINÉS A UNE INHALATION SANS COMBUSTION; AUTRES PRODUITS CONTENANT DE LA NICOTINE DESTINÉS A L’ABSORPTION DE LA NICOTINE DANS LE CORPS HUMAIN: Autres tabacs et succédanés de tabac, fabriqués; tabacs « homogénéisés » ou « reconstitués »; extraits et sauces de tabac: autres: autres: autres</t>
  </si>
  <si>
    <t>CHAPITRE 24 - TABACS ET SUCCÉDANÉS DE TABAC FABRIQUÉS: Autres tabacs et succédanés de tabac, fabriqués; tabacs « homogénéisés » ou « reconstitués »; extraits et sauces de tabac: autres: autres: autres</t>
  </si>
  <si>
    <t>Dolomie non calcinée ni frittée, dite « crue »</t>
  </si>
  <si>
    <t>CHAPITRE 25 - SEL; SOUFRE; TERRES ET PIERRES; PLÂTRES, CHAUX ET CIMENTS: Dolomie, même frittée ou calcinée, y compris la dolomie dégrossie ou simplement débitée, par sciage ou autrement, en blocs ou en plaques de forme carrée ou rectangulaire: Dolomie non calcinée ni frittée, dite « crue »</t>
  </si>
  <si>
    <t>CHAPITRE 25 - SEL; SOUFRE; TERRES ET PIERRES; PLÂTRES, CHAUX ET CIMENTS: Dolomie, même frittée ou calcinée, y compris la dolomie dégrossie ou simplement débitée, par sciage ou autrement, en blocs ou en plaques de forme carrée ou rectangulaire; pisé de dolomie: Dolomie non calcinée ni frittée, dite « crue »</t>
  </si>
  <si>
    <t>Dolomie calcinée ou frittée</t>
  </si>
  <si>
    <t>CHAPITRE 25 - SEL; SOUFRE; TERRES ET PIERRES; PLÂTRES, CHAUX ET CIMENTS: Dolomie, même frittée ou calcinée, y compris la dolomie dégrossie ou simplement débitée, par sciage ou autrement, en blocs ou en plaques de forme carrée ou rectangulaire: Dolomie calcinée ou frittée</t>
  </si>
  <si>
    <t>CHAPITRE 25 - SEL; SOUFRE; TERRES ET PIERRES; PLÂTRES, CHAUX ET CIMENTS: Dolomie, même frittée ou calcinée, y compris la dolomie dégrossie ou simplement débitée, par sciage ou autrement, en blocs ou en plaques de forme carrée ou rectangulaire; pisé de dolomie: Dolomie calcinée ou frittée</t>
  </si>
  <si>
    <t>Chlorodifluorométhane (HCFC-22)</t>
  </si>
  <si>
    <t>Chlorodifluorométhane</t>
  </si>
  <si>
    <t>CHAPITRE 29 - PRODUITS CHIMIQUES ORGANIQUES: Dérivés halogénés des hydrocarbures: Dérivés halogénés des hydrocarbures acycliques contenant au moins deux halogènes différents: Chlorodifluorométhane (HCFC-22)</t>
  </si>
  <si>
    <t>CHAPITRE 29 - PRODUITS CHIMIQUES ORGANIQUES: Dérivés halogénés des hydrocarbures: Dérivés halogénés des hydrocarbures acycliques contenant au moins deux halogènes différents: Chlorodifluorométhane</t>
  </si>
  <si>
    <t>Dichlorotrifluoroéthanes (HCFC-123)</t>
  </si>
  <si>
    <t>Dichlorotrifluoroéthanes</t>
  </si>
  <si>
    <t>CHAPITRE 29 - PRODUITS CHIMIQUES ORGANIQUES: Dérivés halogénés des hydrocarbures: Dérivés halogénés des hydrocarbures acycliques contenant au moins deux halogènes différents: Dichlorotrifluoroéthanes (HCFC-123)</t>
  </si>
  <si>
    <t>CHAPITRE 29 - PRODUITS CHIMIQUES ORGANIQUES: Dérivés halogénés des hydrocarbures: Dérivés halogénés des hydrocarbures acycliques contenant au moins deux halogènes différents: Dichlorotrifluoroéthanes</t>
  </si>
  <si>
    <t>Dichlorofluoroéthanes (HCFC-141, 141b)</t>
  </si>
  <si>
    <t>Dichlorofluoroéthanes</t>
  </si>
  <si>
    <t>CHAPITRE 29 - PRODUITS CHIMIQUES ORGANIQUES: Dérivés halogénés des hydrocarbures: Dérivés halogénés des hydrocarbures acycliques contenant au moins deux halogènes différents: Dichlorofluoroéthanes (HCFC-141, 141b)</t>
  </si>
  <si>
    <t>CHAPITRE 29 - PRODUITS CHIMIQUES ORGANIQUES: Dérivés halogénés des hydrocarbures: Dérivés halogénés des hydrocarbures acycliques contenant au moins deux halogènes différents: Dichlorofluoroéthanes</t>
  </si>
  <si>
    <t>Chlorodifluoroéthanes (HCFC-142, 142b)</t>
  </si>
  <si>
    <t>Chlorodifluoroéthanes</t>
  </si>
  <si>
    <t>CHAPITRE 29 - PRODUITS CHIMIQUES ORGANIQUES: Dérivés halogénés des hydrocarbures: Dérivés halogénés des hydrocarbures acycliques contenant au moins deux halogènes différents: Chlorodifluoroéthanes (HCFC-142, 142b)</t>
  </si>
  <si>
    <t>CHAPITRE 29 - PRODUITS CHIMIQUES ORGANIQUES: Dérivés halogénés des hydrocarbures: Dérivés halogénés des hydrocarbures acycliques contenant au moins deux halogènes différents: Chlorodifluoroéthanes</t>
  </si>
  <si>
    <t>CHAPITRE 29 - PRODUITS CHIMIQUES ORGANIQUES: Dérivés halogénés des hydrocarbures: Dérivés halogénés des hydrocarbures acycliques contenant au moins deux halogènes différents: Dichloropentafluoropropanes (HCFC-225, 225ca, 225cb)</t>
  </si>
  <si>
    <t>CHAPITRE 29 - PRODUITS CHIMIQUES ORGANIQUES: Dérivés halogénés des hydrocarbures: Dérivés halogénés des hydrocarbures acycliques contenant au moins deux halogènes différents: Dichloropentafluoropropanes</t>
  </si>
  <si>
    <t>Bromochlorodifluorométhane (halon-1211)</t>
  </si>
  <si>
    <t>Bromochlorodifluorométhane</t>
  </si>
  <si>
    <t>CHAPITRE 29 - PRODUITS CHIMIQUES ORGANIQUES: Dérivés halogénés des hydrocarbures: Dérivés halogénés des hydrocarbures acycliques contenant au moins deux halogènes différents: Bromochlorodifluorométhane (halon-1211), bromotrifluorométhane (halon-1301) et dibromotétrafluoroéthanes (halon-2402): Bromochlorodifluorométhane (halon-1211)</t>
  </si>
  <si>
    <t>CHAPITRE 29 - PRODUITS CHIMIQUES ORGANIQUES: Dérivés halogénés des hydrocarbures: Dérivés halogénés des hydrocarbures acycliques contenant au moins deux halogènes différents: Bromochlorodifluorométhane, bromotrifluorométhane et dibromotétrafluoroéthanes: Bromochlorodifluorométhane</t>
  </si>
  <si>
    <t>Bromotrifluorométhane (halon-1301)</t>
  </si>
  <si>
    <t>Bromotrifluorométhane</t>
  </si>
  <si>
    <t>CHAPITRE 29 - PRODUITS CHIMIQUES ORGANIQUES: Dérivés halogénés des hydrocarbures: Dérivés halogénés des hydrocarbures acycliques contenant au moins deux halogènes différents: Bromochlorodifluorométhane (halon-1211), bromotrifluorométhane (halon-1301) et dibromotétrafluoroéthanes (halon-2402): Bromotrifluorométhane (halon-1301)</t>
  </si>
  <si>
    <t>CHAPITRE 29 - PRODUITS CHIMIQUES ORGANIQUES: Dérivés halogénés des hydrocarbures: Dérivés halogénés des hydrocarbures acycliques contenant au moins deux halogènes différents: Bromochlorodifluorométhane, bromotrifluorométhane et dibromotétrafluoroéthanes: Bromotrifluorométhane</t>
  </si>
  <si>
    <t>Dibromotétrafluoroéthanes (halon-2402)</t>
  </si>
  <si>
    <t>Dibromotétrafluoroéthanes</t>
  </si>
  <si>
    <t>CHAPITRE 29 - PRODUITS CHIMIQUES ORGANIQUES: Dérivés halogénés des hydrocarbures: Dérivés halogénés des hydrocarbures acycliques contenant au moins deux halogènes différents: Bromochlorodifluorométhane (halon-1211), bromotrifluorométhane (halon-1301) et dibromotétrafluoroéthanes (halon-2402): Dibromotétrafluoroéthanes (halon-2402)</t>
  </si>
  <si>
    <t>CHAPITRE 29 - PRODUITS CHIMIQUES ORGANIQUES: Dérivés halogénés des hydrocarbures: Dérivés halogénés des hydrocarbures acycliques contenant au moins deux halogènes différents: Bromochlorodifluorométhane, bromotrifluorométhane et dibromotétrafluoroéthanes: Dibromotétrafluoroéthanes</t>
  </si>
  <si>
    <t>Éther diéthylique (oxyde de diéthyle)</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</si>
  <si>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 acycliques et leurs dérivés halogénés, sulfonés, nitrés ou nitrosés: Éther diéthylique (oxyde de diéthyle)</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</si>
  <si>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 acycliques et leurs dérivés halogénés, sulfonés, nitrés ou nitrosés: Éther diéthylique (oxyde de diéthyle)</t>
  </si>
  <si>
    <t>Oxyde de tert-butyle et d’éthyle (oxyde d'éthyle et de tert-butyle, ETBE)</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</si>
  <si>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 acycliques et leurs dérivés halogénés, sulfonés, nitrés ou nitrosés: autres: Oxyde de tert-butyle et d’éthyle (oxyde d'éthyle et de tert-butyle, ETBE)</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</si>
  <si>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 acycliques et leurs dérivés halogénés, sulfonés, nitrés ou nitrosés: autres: Oxyde de tert-butyle et d’éthyle (oxyde d'éthyle et de tert-butyle, ETBE)</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</si>
  <si>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 acycliques et leurs dérivés halogénés, sulfonés, nitrés ou nitrosés: autres: autres</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</si>
  <si>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 acycliques et leurs dérivés halogénés, sulfonés, nitrés ou nitrosés: autres: autres</t>
  </si>
  <si>
    <t>Éthers cyclaniques, cycléniques, cycloterpéniques et leurs dérivés halogénés, sulfonés, nitrés ou nitrosés</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</si>
  <si>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 cyclaniques, cycléniques, cycloterpéniques et leurs dérivés halogénés, sulfonés, nitrés ou nitrosés</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</si>
  <si>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 cyclaniques, cycléniques, cycloterpéniques et leurs dérivés halogénés, sulfonés, nitrés ou nitrosés</t>
  </si>
  <si>
    <t>Éther diphénylique (oxyde de diphényle)</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</si>
  <si>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 aromatiques et leurs dérivés halogénés, sulfonés, nitrés ou nitrosés: Éther diphénylique (oxyde de diphényle)</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</si>
  <si>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 aromatiques et leurs dérivés halogénés, sulfonés, nitrés ou nitrosés: Éther diphénylique (oxyde de diphényle)</t>
  </si>
  <si>
    <t>Oxyde de pentabromodiphényle; 1,2,4,5-tétrabromo-3,6-bis(pentabromophénoxy)benzène</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</si>
  <si>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 aromatiques et leurs dérivés halogénés, sulfonés, nitrés ou nitrosés: Dérivés halogénés uniquement avec du brome: Oxyde de pentabromodiphényle; 1,2,4,5-tétrabromo-3,6-bis(pentabromophénoxy)benzène</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</si>
  <si>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 aromatiques et leurs dérivés halogénés, sulfonés, nitrés ou nitrosés: Dérivés halogénés uniquement avec du brome: Oxyde de pentabromodiphényle; 1,2,4,5-tétrabromo-3,6-bis(pentabromophénoxy)benzène</t>
  </si>
  <si>
    <t>1,2-Bis(2,4,6-tribromophénoxy)éthane, destiné à la fabrication d'acrylonitrile-butadiène-styrène (ABS)</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</si>
  <si>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 aromatiques et leurs dérivés halogénés, sulfonés, nitrés ou nitrosés: Dérivés halogénés uniquement avec du brome: 1,2-Bis(2,4,6-tribromophénoxy)éthane, destiné à la fabrication d'acrylonitrile-butadiène-styrène (ABS)</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</si>
  <si>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 aromatiques et leurs dérivés halogénés, sulfonés, nitrés ou nitrosés: Dérivés halogénés uniquement avec du brome: 1,2-Bis(2,4,6-tribromophénoxy)éthane, destiné à la fabrication d'acrylonitrile-butadiène-styrène (ABS)</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</si>
  <si>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 aromatiques et leurs dérivés halogénés, sulfonés, nitrés ou nitrosés: Dérivés halogénés uniquement avec du brome: autres</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</si>
  <si>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 aromatiques et leurs dérivés halogénés, sulfonés, nitrés ou nitrosés: Dérivés halogénés uniquement avec du brome: autres</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</si>
  <si>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 aromatiques et leurs dérivés halogénés, sulfonés, nitrés ou nitrosés: autres</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</si>
  <si>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 aromatiques et leurs dérivés halogénés, sulfonés, nitrés ou nitrosés: autres</t>
  </si>
  <si>
    <t>2,2′-Oxydiéthanol (diéthylène-glycol)</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</si>
  <si>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Éthers-alcools et leurs dérivés halogénés, sulfonés, nitrés ou nitrosés: 2,2′-Oxydiéthanol (diéthylène-glycol)</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</si>
  <si>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Éthers-alcools et leurs dérivés halogénés, sulfonés, nitrés ou nitrosés: 2,2′-Oxydiéthanol (diéthylène-glycol)</t>
  </si>
  <si>
    <t>Éthers monobutyliques de l'éthylène-glycol ou du diéthylène-glycol</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</si>
  <si>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Éthers-alcools et leurs dérivés halogénés, sulfonés, nitrés ou nitrosés: Éthers monobutyliques de l'éthylène-glycol ou du diéthylène-glycol</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</si>
  <si>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Éthers-alcools et leurs dérivés halogénés, sulfonés, nitrés ou nitrosés: Éthers monobutyliques de l'éthylène-glycol ou du diéthylène-glycol</t>
  </si>
  <si>
    <t>autres éthers monoalkyliques de l'éthylène-glycol ou du diéthylène-glycol</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</si>
  <si>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Éthers-alcools et leurs dérivés halogénés, sulfonés, nitrés ou nitrosés: autres éthers monoalkyliques de l'éthylène-glycol ou du diéthylène-glycol</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</si>
  <si>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Éthers-alcools et leurs dérivés halogénés, sulfonés, nitrés ou nitrosés: autres éthers monoalkyliques de l'éthylène-glycol ou du diéthylène-glycol</t>
  </si>
  <si>
    <t>2-(2-Chloroéthoxy)éthanol</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</si>
  <si>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Éthers-alcools et leurs dérivés halogénés, sulfonés, nitrés ou nitrosés: autres: 2-(2-Chloroéthoxy)éthanol</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</si>
  <si>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Éthers-alcools et leurs dérivés halogénés, sulfonés, nitrés ou nitrosés: autres: 2-(2-Chloroéthoxy)éthanol</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</si>
  <si>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Éthers-alcools et leurs dérivés halogénés, sulfonés, nitrés ou nitrosés: autres: autres</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</si>
  <si>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Éthers-alcools et leurs dérivés halogénés, sulfonés, nitrés ou nitrosés: autres: autres</t>
  </si>
  <si>
    <t>Éthers-phénols, éthers-alcools-phénols et leurs dérivés halogénés, sulfonés, nitrés ou nitrosés</t>
  </si>
  <si>
    <t>CHAPITRE 29 - PRODUITS CHIMIQUES ORGANIQUES: Éthers, éthers-alcools, éthers-phénols, éthers-alcools-phénols, peroxydes d'alcools, peroxydes d'éthers, peroxydes d’acétals et d’hémi-acetals, peroxydes de cétones (de constitution chimique définie ou non) et leurs dérivés halogénés, sulfonés, nitrés ou nitrosés: Éthers-phénols, éthers-alcools-phénols et leurs dérivés halogénés, sulfonés, nitrés ou nitrosés</t>
  </si>
  <si>
    <t>CHAPITRE 29 - PRODUITS CHIMIQUES ORGANIQUES: Éthers, éthers-alcools, éthers-phénols, éthers-alcools-phénols, peroxydes d'alcools, peroxydes d'éthers, peroxydes de cétones (de constitution chimique définie ou non) et leurs dérivés halogénés, sulfonés, nitrés ou nitrosés: Éthers-phénols, éthers-alcools-phénols et leurs dérivés halogénés, sulfonés, nitrés ou nitrosés</t>
  </si>
  <si>
    <t>Alfentanil (DCI), aniléridine (DCI), bézitramide (DCI), bromazépam (DCI), carfentanil (DCI), cétobémidone (DCI), difénoxine (DCI), diphénoxylate (DCI), dipipanone (DCI), fentanyl (DCI), méthylphénidate (DCI), pentazocine (DCI), péthidine (DCI), péthidine (DCI) intermédiaire A, phencyclidine (DCI) (PCP), phénopéridine (DCI), pipradrol (DCI), piritramide (DCI), propiram (DCI), remifentanil (DCI) et trimépéridine (DCI); sels de ces produits</t>
  </si>
  <si>
    <t>Alfentanil (DCI), aniléridine (DCI), bézitramide (DCI), bromazépam (DCI), cétobémidone (DCI), difénoxine (DCI), diphénoxylate (DCI), dipipanone (DCI), fentanyl (DCI), méthylphénidate (DCI), pentazocine (DCI), péthidine (DCI), péthidine (DCI) intermédiaire A, phencyclidine (DCI) (PCP), phénopéridine (DCI), pipradrol (DCI), piritramide (DCI), propiram (DCI) et trimépéridine (DCI); sels de ces produits</t>
  </si>
  <si>
    <t>CHAPITRE 29 - PRODUITS CHIMIQUES ORGANIQUES: Composés hétérocycliques à hétéroatome(s) d'azote exclusivement: Composés dont la structure comporte un cycle pyridine (hydrogéné ou non) non condensé: Alfentanil (DCI), aniléridine (DCI), bézitramide (DCI), bromazépam (DCI), carfentanil (DCI), cétobémidone (DCI), difénoxine (DCI), diphénoxylate (DCI), dipipanone (DCI), fentanyl (DCI), méthylphénidate (DCI), pentazocine (DCI), péthidine (DCI), péthidine (DCI) intermédiaire A, phencyclidine (DCI) (PCP), phénopéridine (DCI), pipradrol (DCI), piritramide (DCI), propiram (DCI), remifentanil (DCI) et trimépéridine (DCI); sels de ces produits</t>
  </si>
  <si>
    <t>CHAPITRE 29 - PRODUITS CHIMIQUES ORGANIQUES: Composés hétérocycliques à hétéroatome(s) d'azote exclusivement: Composés dont la structure comporte un cycle pyridine (hydrogéné ou non) non condensé: Alfentanil (DCI), aniléridine (DCI), bézitramide (DCI), bromazépam (DCI), cétobémidone (DCI), difénoxine (DCI), diphénoxylate (DCI), dipipanone (DCI), fentanyl (DCI), méthylphénidate (DCI), pentazocine (DCI), péthidine (DCI), péthidine (DCI) intermédiaire A, phencyclidine (DCI) (PCP), phénopéridine (DCI), pipradrol (DCI), piritramide (DCI), propiram (DCI) et trimépéridine (DCI); sels de ces produits</t>
  </si>
  <si>
    <t>Acide D- ou DL-pantothénique (vitamine B5) et ses dérivés</t>
  </si>
  <si>
    <t>Acide D- ou DL-pantothénique (vitamine B3 ou vitamine B5) et ses dérivés</t>
  </si>
  <si>
    <t>CHAPITRE 29 - PRODUITS CHIMIQUES ORGANIQUES: Provitamines et vitamines, naturelles ou reproduites par synthèse (y compris les concentrats naturels), ainsi que leurs dérivés utilisés principalement en tant que vitamines, mélangés ou non entre eux, même en solutions quelconques: Vitamines et leurs dérivés, non mélangés: Acide D- ou DL-pantothénique (vitamine B5) et ses dérivés</t>
  </si>
  <si>
    <t>CHAPITRE 29 - PRODUITS CHIMIQUES ORGANIQUES: Provitamines et vitamines, naturelles ou reproduites par synthèse (y compris les concentrats naturels), ainsi que leurs dérivés utilisés principalement en tant que vitamines, mélangés ou non entre eux, même en solutions quelconques: Vitamines et leurs dérivés, non mélangés: Acide D- ou DL-pantothénique (vitamine B3 ou vitamine B5) et ses dérivés</t>
  </si>
  <si>
    <t>Éphédrine et ses sels</t>
  </si>
  <si>
    <t>CHAPITRE 29 - PRODUITS CHIMIQUES ORGANIQUES: Alcaloïdes, naturels ou reproduits par synthèse, leurs sels, leurs éthers, leurs esters et autres dérivés: Alcaloïdes de l’ephedra et leurs dérivés; sels de ces produits: Éphédrine et ses sels</t>
  </si>
  <si>
    <t>CHAPITRE 29 - PRODUITS CHIMIQUES ORGANIQUES: Alcaloïdes, naturels ou reproduits par synthèse, leurs sels, leurs éthers, leurs esters et autres dérivés: Éphédrines et leurs sels: Éphédrine et ses sels</t>
  </si>
  <si>
    <t>Pseudoéphédrine (DCI) et ses sels</t>
  </si>
  <si>
    <t>CHAPITRE 29 - PRODUITS CHIMIQUES ORGANIQUES: Alcaloïdes, naturels ou reproduits par synthèse, leurs sels, leurs éthers, leurs esters et autres dérivés: Alcaloïdes de l’ephedra et leurs dérivés; sels de ces produits: Pseudoéphédrine (DCI) et ses sels</t>
  </si>
  <si>
    <t>CHAPITRE 29 - PRODUITS CHIMIQUES ORGANIQUES: Alcaloïdes, naturels ou reproduits par synthèse, leurs sels, leurs éthers, leurs esters et autres dérivés: Éphédrines et leurs sels: Pseudoéphédrine (DCI) et ses sels</t>
  </si>
  <si>
    <t>Cathine (DCI) et ses sels</t>
  </si>
  <si>
    <t>CHAPITRE 29 - PRODUITS CHIMIQUES ORGANIQUES: Alcaloïdes, naturels ou reproduits par synthèse, leurs sels, leurs éthers, leurs esters et autres dérivés: Alcaloïdes de l’ephedra et leurs dérivés; sels de ces produits: Cathine (DCI) et ses sels</t>
  </si>
  <si>
    <t>CHAPITRE 29 - PRODUITS CHIMIQUES ORGANIQUES: Alcaloïdes, naturels ou reproduits par synthèse, leurs sels, leurs éthers, leurs esters et autres dérivés: Éphédrines et leurs sels: Cathine (DCI) et ses sels</t>
  </si>
  <si>
    <t>Noréphédrine et ses sels</t>
  </si>
  <si>
    <t>CHAPITRE 29 - PRODUITS CHIMIQUES ORGANIQUES: Alcaloïdes, naturels ou reproduits par synthèse, leurs sels, leurs éthers, leurs esters et autres dérivés: Alcaloïdes de l’ephedra et leurs dérivés; sels de ces produits: Noréphédrine et ses sels</t>
  </si>
  <si>
    <t>CHAPITRE 29 - PRODUITS CHIMIQUES ORGANIQUES: Alcaloïdes, naturels ou reproduits par synthèse, leurs sels, leurs éthers, leurs esters et autres dérivés: Éphédrines et leurs sels: Noréphédrine et ses sels</t>
  </si>
  <si>
    <t>CHAPITRE 29 - PRODUITS CHIMIQUES ORGANIQUES: Alcaloïdes, naturels ou reproduits par synthèse, leurs sels, leurs éthers, leurs esters et autres dérivés: Alcaloïdes de l’ephedra et leurs dérivés; sels de ces produits: autres</t>
  </si>
  <si>
    <t>CHAPITRE 29 - PRODUITS CHIMIQUES ORGANIQUES: Alcaloïdes, naturels ou reproduits par synthèse, leurs sels, leurs éthers, leurs esters et autres dérivés: Éphédrines et leurs sels: autres</t>
  </si>
  <si>
    <t>Antisérums et autres fractions du sang</t>
  </si>
  <si>
    <t>CHAPITRE 30 - PRODUITS PHARMACEUTIQUES: Sang humain; sang animal préparé en vue d’usages thérapeutiques, prophylactiques ou de diagnostic; antisérums, autres fractions du sang et produits immunologiques, même modifiés ou obtenus par voie biotechnologique; vaccins, toxines, cultures de micro-organismes (à l’exclusion des levures) et produits similaires; cultures de cellules, même modifiées: Antisérums, autres fractions du sang et produits immunologiques, même modifiés ou obtenus par voie biotechnologique: Antisérums et autres fractions du sang</t>
  </si>
  <si>
    <t>CHAPITRE 30 - PRODUITS PHARMACEUTIQUES: Sang humain; sang animal préparé en vue d’usages thérapeutiques, prophylactiques ou de diagnostic; antisérums, autres fractions du sang et produits immunologiques, même modifiés ou obtenus par voie biotechnologique; vaccins, toxines, cultures de micro-organismes (à l’exclusion des levures) et produits similaires: Antisérums, autres fractions du sang et produits immunologiques, même modifiés ou obtenus par voie biotechnologique: Antisérums et autres fractions du sang</t>
  </si>
  <si>
    <t>Produits immunologiques, non mélangés et ni présentés sous forme de doses, ni conditionnés pour la vente au détail</t>
  </si>
  <si>
    <t>CHAPITRE 30 - PRODUITS PHARMACEUTIQUES: Sang humain; sang animal préparé en vue d’usages thérapeutiques, prophylactiques ou de diagnostic; antisérums, autres fractions du sang et produits immunologiques, même modifiés ou obtenus par voie biotechnologique; vaccins, toxines, cultures de micro-organismes (à l’exclusion des levures) et produits similaires; cultures de cellules, même modifiées: Antisérums, autres fractions du sang et produits immunologiques, même modifiés ou obtenus par voie biotechnologique: Produits immunologiques, non mélangés et ni présentés sous forme de doses, ni conditionnés pour la vente au détail</t>
  </si>
  <si>
    <t>CHAPITRE 30 - PRODUITS PHARMACEUTIQUES: Sang humain; sang animal préparé en vue d’usages thérapeutiques, prophylactiques ou de diagnostic; antisérums, autres fractions du sang et produits immunologiques, même modifiés ou obtenus par voie biotechnologique; vaccins, toxines, cultures de micro-organismes (à l’exclusion des levures) et produits similaires: Antisérums, autres fractions du sang et produits immunologiques, même modifiés ou obtenus par voie biotechnologique: Produits immunologiques, non mélangés et ni présentés sous forme de doses, ni conditionnés pour la vente au détail</t>
  </si>
  <si>
    <t>Produits immunologiques, mélangés et ni présentés sous forme de doses, ni conditionnés pour la vente au détail</t>
  </si>
  <si>
    <t>CHAPITRE 30 - PRODUITS PHARMACEUTIQUES: Sang humain; sang animal préparé en vue d’usages thérapeutiques, prophylactiques ou de diagnostic; antisérums, autres fractions du sang et produits immunologiques, même modifiés ou obtenus par voie biotechnologique; vaccins, toxines, cultures de micro-organismes (à l’exclusion des levures) et produits similaires; cultures de cellules, même modifiées: Antisérums, autres fractions du sang et produits immunologiques, même modifiés ou obtenus par voie biotechnologique: Produits immunologiques, mélangés et ni présentés sous forme de doses, ni conditionnés pour la vente au détail</t>
  </si>
  <si>
    <t>CHAPITRE 30 - PRODUITS PHARMACEUTIQUES: Sang humain; sang animal préparé en vue d’usages thérapeutiques, prophylactiques ou de diagnostic; antisérums, autres fractions du sang et produits immunologiques, même modifiés ou obtenus par voie biotechnologique; vaccins, toxines, cultures de micro-organismes (à l’exclusion des levures) et produits similaires: Antisérums, autres fractions du sang et produits immunologiques, même modifiés ou obtenus par voie biotechnologique: Produits immunologiques, mélangés et ni présentés sous forme de doses, ni conditionnés pour la vente au détail</t>
  </si>
  <si>
    <t>Produits immunologiques, présentés sous forme de doses, ou conditionnés pour la vente au détail</t>
  </si>
  <si>
    <t>CHAPITRE 30 - PRODUITS PHARMACEUTIQUES: Sang humain; sang animal préparé en vue d’usages thérapeutiques, prophylactiques ou de diagnostic; antisérums, autres fractions du sang et produits immunologiques, même modifiés ou obtenus par voie biotechnologique; vaccins, toxines, cultures de micro-organismes (à l’exclusion des levures) et produits similaires; cultures de cellules, même modifiées: Antisérums, autres fractions du sang et produits immunologiques, même modifiés ou obtenus par voie biotechnologique: Produits immunologiques, présentés sous forme de doses, ou conditionnés pour la vente au détail</t>
  </si>
  <si>
    <t>CHAPITRE 30 - PRODUITS PHARMACEUTIQUES: Sang humain; sang animal préparé en vue d’usages thérapeutiques, prophylactiques ou de diagnostic; antisérums, autres fractions du sang et produits immunologiques, même modifiés ou obtenus par voie biotechnologique; vaccins, toxines, cultures de micro-organismes (à l’exclusion des levures) et produits similaires: Antisérums, autres fractions du sang et produits immunologiques, même modifiés ou obtenus par voie biotechnologique: Produits immunologiques, présentés sous forme de doses, ou conditionnés pour la vente au détail</t>
  </si>
  <si>
    <t>Sang humain</t>
  </si>
  <si>
    <t>CHAPITRE 30 - PRODUITS PHARMACEUTIQUES: Sang humain; sang animal préparé en vue d’usages thérapeutiques, prophylactiques ou de diagnostic; antisérums, autres fractions du sang et produits immunologiques, même modifiés ou obtenus par voie biotechnologique; vaccins, toxines, cultures de micro-organismes (à l’exclusion des levures) et produits similaires; cultures de cellules, même modifiées: autres: Sang humain</t>
  </si>
  <si>
    <t>CHAPITRE 30 - PRODUITS PHARMACEUTIQUES: Sang humain; sang animal préparé en vue d’usages thérapeutiques, prophylactiques ou de diagnostic; antisérums, autres fractions du sang et produits immunologiques, même modifiés ou obtenus par voie biotechnologique; vaccins, toxines, cultures de micro-organismes (à l’exclusion des levures) et produits similaires: autres: Sang humain</t>
  </si>
  <si>
    <t>Sang animal préparé en vue d'usages thérapeutiques, prophylactiques ou de diagnostic</t>
  </si>
  <si>
    <t>CHAPITRE 30 - PRODUITS PHARMACEUTIQUES: Sang humain; sang animal préparé en vue d’usages thérapeutiques, prophylactiques ou de diagnostic; antisérums, autres fractions du sang et produits immunologiques, même modifiés ou obtenus par voie biotechnologique; vaccins, toxines, cultures de micro-organismes (à l’exclusion des levures) et produits similaires; cultures de cellules, même modifiées: autres: Sang animal préparé en vue d'usages thérapeutiques, prophylactiques ou de diagnostic</t>
  </si>
  <si>
    <t>CHAPITRE 30 - PRODUITS PHARMACEUTIQUES: Sang humain; sang animal préparé en vue d’usages thérapeutiques, prophylactiques ou de diagnostic; antisérums, autres fractions du sang et produits immunologiques, même modifiés ou obtenus par voie biotechnologique; vaccins, toxines, cultures de micro-organismes (à l’exclusion des levures) et produits similaires: autres: Sang animal préparé en vue d'usages thérapeutiques, prophylactiques ou de diagnostic</t>
  </si>
  <si>
    <t>CHAPITRE 30 - PRODUITS PHARMACEUTIQUES: Sang humain; sang animal préparé en vue d’usages thérapeutiques, prophylactiques ou de diagnostic; antisérums, autres fractions du sang et produits immunologiques, même modifiés ou obtenus par voie biotechnologique; vaccins, toxines, cultures de micro-organismes (à l’exclusion des levures) et produits similaires; cultures de cellules, même modifiées: autres: autres</t>
  </si>
  <si>
    <t>CHAPITRE 30 - PRODUITS PHARMACEUTIQUES: Sang humain; sang animal préparé en vue d’usages thérapeutiques, prophylactiques ou de diagnostic; antisérums, autres fractions du sang et produits immunologiques, même modifiés ou obtenus par voie biotechnologique; vaccins, toxines, cultures de micro-organismes (à l’exclusion des levures) et produits similaires: autres: autres</t>
  </si>
  <si>
    <t>Grumes de sciage</t>
  </si>
  <si>
    <t>CHAPITRE 44 - BOIS, CHARBON DE BOIS ET OUVRAGES EN BOIS: Bois bruts, même écorcés, désaubiérés ou équarris: autres, de conifères: de pin (Pinus spp.), dont la plus petite dimension de la coupe transversale est égale ou supérieure à 15 cm: Grumes de sciage</t>
  </si>
  <si>
    <t>CHAPITRE 44 - BOIS, CHARBON DE BOIS ET OUVRAGES EN BOIS: Bois bruts, même écorcés, désaubiérés ou équarris: autres, de conifères: de pin (Pinus spp.), dont la plus grande dimension de la coupe transversale est égale ou supérieure à 15 cm: Grumes de sciage</t>
  </si>
  <si>
    <t>CHAPITRE 44 - BOIS, CHARBON DE BOIS ET OUVRAGES EN BOIS: Bois bruts, même écorcés, désaubiérés ou équarris: autres, de conifères: de pin (Pinus spp.), dont la plus petite dimension de la coupe transversale est égale ou supérieure à 15 cm: autres</t>
  </si>
  <si>
    <t>CHAPITRE 44 - BOIS, CHARBON DE BOIS ET OUVRAGES EN BOIS: Bois bruts, même écorcés, désaubiérés ou équarris: autres, de conifères: de pin (Pinus spp.), dont la plus grande dimension de la coupe transversale est égale ou supérieure à 15 cm: autres</t>
  </si>
  <si>
    <t>CHAPITRE 44 - BOIS, CHARBON DE BOIS ET OUVRAGES EN BOIS: Bois bruts, même écorcés, désaubiérés ou équarris: autres, de conifères: de sapin (Abies spp.) et d’épicéa (Picea spp.), dont la plus petite dimension de la coupe transversale est égale ou supérieure à 15 cm: Grumes de sciage</t>
  </si>
  <si>
    <t>CHAPITRE 44 - BOIS, CHARBON DE BOIS ET OUVRAGES EN BOIS: Bois bruts, même écorcés, désaubiérés ou équarris: autres, de conifères: de sapin (Abies spp.) et d’épicéa (Picea spp.), dont la plus grande dimension de la coupe transversale est égale ou supérieure à 15 cm: Grumes de sciage</t>
  </si>
  <si>
    <t>CHAPITRE 44 - BOIS, CHARBON DE BOIS ET OUVRAGES EN BOIS: Bois bruts, même écorcés, désaubiérés ou équarris: autres, de conifères: de sapin (Abies spp.) et d’épicéa (Picea spp.), dont la plus petite dimension de la coupe transversale est égale ou supérieure à 15 cm: autres</t>
  </si>
  <si>
    <t>CHAPITRE 44 - BOIS, CHARBON DE BOIS ET OUVRAGES EN BOIS: Bois bruts, même écorcés, désaubiérés ou équarris: autres, de conifères: de sapin (Abies spp.) et d’épicéa (Picea spp.), dont la plus grande dimension de la coupe transversale est égale ou supérieure à 15 cm: autres</t>
  </si>
  <si>
    <t>CHAPITRE 44 - BOIS, CHARBON DE BOIS ET OUVRAGES EN BOIS: Bois bruts, même écorcés, désaubiérés ou équarris: autres, de conifères: autres, dont la plus petite dimension de la coupe transversale est égale ou supérieure à 15 cm: Grumes de sciage</t>
  </si>
  <si>
    <t>CHAPITRE 44 - BOIS, CHARBON DE BOIS ET OUVRAGES EN BOIS: Bois bruts, même écorcés, désaubiérés ou équarris: autres, de conifères: autres, dont la plus grande dimension de la coupe transversale est égale ou supérieure à 15 cm: Grumes de sciage</t>
  </si>
  <si>
    <t>CHAPITRE 44 - BOIS, CHARBON DE BOIS ET OUVRAGES EN BOIS: Bois bruts, même écorcés, désaubiérés ou équarris: autres, de conifères: autres, dont la plus petite dimension de la coupe transversale est égale ou supérieure à 15 cm: autres</t>
  </si>
  <si>
    <t>CHAPITRE 44 - BOIS, CHARBON DE BOIS ET OUVRAGES EN BOIS: Bois bruts, même écorcés, désaubiérés ou équarris: autres, de conifères: autres, dont la plus grande dimension de la coupe transversale est égale ou supérieure à 15 cm: autres</t>
  </si>
  <si>
    <t>de hêtre (Fagus spp.), dont la plus petite dimension de la coupe transversale est égale ou supérieure à 15 cm</t>
  </si>
  <si>
    <t>de hêtre (Fagus spp.), dont la plus grande dimension de la coupe transversale est égale ou supérieure à 15 cm</t>
  </si>
  <si>
    <t>CHAPITRE 44 - BOIS, CHARBON DE BOIS ET OUVRAGES EN BOIS: Bois bruts, même écorcés, désaubiérés ou équarris: autres: de hêtre (Fagus spp.), dont la plus petite dimension de la coupe transversale est égale ou supérieure à 15 cm</t>
  </si>
  <si>
    <t>CHAPITRE 44 - BOIS, CHARBON DE BOIS ET OUVRAGES EN BOIS: Bois bruts, même écorcés, désaubiérés ou équarris: autres: de hêtre (Fagus spp.), dont la plus grande dimension de la coupe transversale est égale ou supérieure à 15 cm</t>
  </si>
  <si>
    <t>CHAPITRE 44 - BOIS, CHARBON DE BOIS ET OUVRAGES EN BOIS: Bois bruts, même écorcés, désaubiérés ou équarris: autres: de bouleau (Betula spp.), dont la plus petite dimension de la coupe transversale est égale ou supérieure à 15 cm: Grumes de sciage</t>
  </si>
  <si>
    <t>CHAPITRE 44 - BOIS, CHARBON DE BOIS ET OUVRAGES EN BOIS: Bois bruts, même écorcés, désaubiérés ou équarris: autres: de bouleau (Betula spp.), dont la plus grande dimension de la coupe transversale est égale ou supérieure à 15 cm: Grumes de sciage</t>
  </si>
  <si>
    <t>CHAPITRE 44 - BOIS, CHARBON DE BOIS ET OUVRAGES EN BOIS: Bois bruts, même écorcés, désaubiérés ou équarris: autres: de bouleau (Betula spp.), dont la plus petite dimension de la coupe transversale est égale ou supérieure à 15 cm: autres</t>
  </si>
  <si>
    <t>CHAPITRE 44 - BOIS, CHARBON DE BOIS ET OUVRAGES EN BOIS: Bois bruts, même écorcés, désaubiérés ou équarris: autres: de bouleau (Betula spp.), dont la plus grande dimension de la coupe transversale est égale ou supérieure à 15 cm: autres</t>
  </si>
  <si>
    <t>collés par assemblage en bout, même rabotés ou poncés</t>
  </si>
  <si>
    <t>CHAPITRE 44 - BOIS, CHARBON DE BOIS ET OUVRAGES EN BOIS: Bois sciés ou dédossés longitudinalement, tranchés ou déroulés, même rabotés, poncés ou collés par assemblage en bout, d'une épaisseur excédant 6 mm: de bois tropicaux: autres: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tiama, tola: collés par assemblage en bout, même rabotés ou poncés</t>
  </si>
  <si>
    <t>CHAPITRE 44 - BOIS, CHARBON DE BOIS ET OUVRAGES EN BOIS: Bois sciés ou dédossés longitudinalement, tranchés ou déroulés, même rabotés, poncés ou collés par assemblage en bout, d'une épaisseur excédant 6 mm: de bois tropicaux: autres: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teak, tiama, tola: collés par assemblage en bout, même rabotés ou poncés</t>
  </si>
  <si>
    <t>Palissandre de Para, palissandre de Rio et palissandre de Rose, rabotés</t>
  </si>
  <si>
    <t>CHAPITRE 44 - BOIS, CHARBON DE BOIS ET OUVRAGES EN BOIS: Bois sciés ou dédossés longitudinalement, tranchés ou déroulés, même rabotés, poncés ou collés par assemblage en bout, d'une épaisseur excédant 6 mm: de bois tropicaux: autres: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tiama, tola: autres: Palissandre de Para, palissandre de Rio et palissandre de Rose, rabotés</t>
  </si>
  <si>
    <t>CHAPITRE 44 - BOIS, CHARBON DE BOIS ET OUVRAGES EN BOIS: Bois sciés ou dédossés longitudinalement, tranchés ou déroulés, même rabotés, poncés ou collés par assemblage en bout, d'une épaisseur excédant 6 mm: de bois tropicaux: autres: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teak, tiama, tola: autres: Palissandre de Para, palissandre de Rio et palissandre de Rose, rabotés</t>
  </si>
  <si>
    <t>rabotés</t>
  </si>
  <si>
    <t>CHAPITRE 44 - BOIS, CHARBON DE BOIS ET OUVRAGES EN BOIS: Bois sciés ou dédossés longitudinalement, tranchés ou déroulés, même rabotés, poncés ou collés par assemblage en bout, d'une épaisseur excédant 6 mm: de bois tropicaux: autres: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tiama, tola: autres: autres: rabotés</t>
  </si>
  <si>
    <t>CHAPITRE 44 - BOIS, CHARBON DE BOIS ET OUVRAGES EN BOIS: Bois sciés ou dédossés longitudinalement, tranchés ou déroulés, même rabotés, poncés ou collés par assemblage en bout, d'une épaisseur excédant 6 mm: de bois tropicaux: autres: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teak, tiama, tola: autres: autres: rabotés</t>
  </si>
  <si>
    <t>poncés</t>
  </si>
  <si>
    <t>CHAPITRE 44 - BOIS, CHARBON DE BOIS ET OUVRAGES EN BOIS: Bois sciés ou dédossés longitudinalement, tranchés ou déroulés, même rabotés, poncés ou collés par assemblage en bout, d'une épaisseur excédant 6 mm: de bois tropicaux: autres: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tiama, tola: autres: autres: poncés</t>
  </si>
  <si>
    <t>CHAPITRE 44 - BOIS, CHARBON DE BOIS ET OUVRAGES EN BOIS: Bois sciés ou dédossés longitudinalement, tranchés ou déroulés, même rabotés, poncés ou collés par assemblage en bout, d'une épaisseur excédant 6 mm: de bois tropicaux: autres: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teak, tiama, tola: autres: autres: poncés</t>
  </si>
  <si>
    <t>CHAPITRE 44 - BOIS, CHARBON DE BOIS ET OUVRAGES EN BOIS: Bois sciés ou dédossés longitudinalement, tranchés ou déroulés, même rabotés, poncés ou collés par assemblage en bout, d'une épaisseur excédant 6 mm: de bois tropicaux: autres: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tiama, tola: autres: autres: autres</t>
  </si>
  <si>
    <t>CHAPITRE 44 - BOIS, CHARBON DE BOIS ET OUVRAGES EN BOIS: Bois sciés ou dédossés longitudinalement, tranchés ou déroulés, même rabotés, poncés ou collés par assemblage en bout, d'une épaisseur excédant 6 mm: de bois tropicaux: autres: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palissandre de Guatemala, palissandre de Para, palissandre de Rio, palissandre de Rose, pau Amarelo, pau marfim, pulai, punah, quaruba, ramin, saqui-saqui, sepetir, sipo, sucupira, suren, tauari, teak, tiama, tola: autres: autres: autres</t>
  </si>
  <si>
    <t>bruts ou simplement poncés (panneaux bruts)</t>
  </si>
  <si>
    <t>bruts ou simplement poncés</t>
  </si>
  <si>
    <t>CHAPITRE 44 - BOIS, CHARBON DE BOIS ET OUVRAGES EN BOIS: Panneaux de particules, panneaux dits « oriented strand board » (OSB) et panneaux similaires (par exemple « waferboards »), en bois ou en autres matières ligneuses, même agglomérés avec des résines ou d'autres liants organiques: en bois: Panneaux de particules: bruts ou simplement poncés (panneaux bruts)</t>
  </si>
  <si>
    <t>CHAPITRE 44 - BOIS, CHARBON DE BOIS ET OUVRAGES EN BOIS: Panneaux de particules, panneaux dits « oriented strand board » (OSB) et panneaux similaires (par exemple « waferboards »), en bois ou en autres matières ligneuses, même agglomérés avec des résines ou d'autres liants organiques: en bois: Panneaux de particules: bruts ou simplement poncés</t>
  </si>
  <si>
    <t>CHAPITRE 44 - BOIS, CHARBON DE BOIS ET OUVRAGES EN BOIS: Panneaux de particules, panneaux dits « oriented strand board » (OSB) et panneaux similaires (par exemple « waferboards »), en bois ou en autres matières ligneuses, même agglomérés avec des résines ou d'autres liants organiques: en bois: Panneaux dits « oriented strand board » (OSB): bruts ou simplement poncés (panneaux bruts)</t>
  </si>
  <si>
    <t>CHAPITRE 44 - BOIS, CHARBON DE BOIS ET OUVRAGES EN BOIS: Panneaux de particules, panneaux dits « oriented strand board » (OSB) et panneaux similaires (par exemple « waferboards »), en bois ou en autres matières ligneuses, même agglomérés avec des résines ou d'autres liants organiques: en bois: Panneaux dits « oriented strand board » (OSB): bruts ou simplement poncés</t>
  </si>
  <si>
    <t>non ouvrés mécaniquement ni recouverts en surface (panneaux bruts)</t>
  </si>
  <si>
    <t>non ouvrés mécaniquement ni recouverts en surface</t>
  </si>
  <si>
    <t>CHAPITRE 44 - BOIS, CHARBON DE BOIS ET OUVRAGES EN BOIS: Panneaux de fibres de bois ou d'autres matières ligneuses, même agglomérées avec des résines ou d'autres liants organiques: Panneaux de fibres à densité moyenne dits « MDF »: d'une épaisseur n'excédant pas 5 mm: non ouvrés mécaniquement ni recouverts en surface (panneaux bruts)</t>
  </si>
  <si>
    <t>CHAPITRE 44 - BOIS, CHARBON DE BOIS ET OUVRAGES EN BOIS: Panneaux de fibres de bois ou d'autres matières ligneuses, même agglomérées avec des résines ou d'autres liants organiques: Panneaux de fibres à densité moyenne dits « MDF »: d'une épaisseur n'excédant pas 5 mm: non ouvrés mécaniquement ni recouverts en surface</t>
  </si>
  <si>
    <t>CHAPITRE 44 - BOIS, CHARBON DE BOIS ET OUVRAGES EN BOIS: Panneaux de fibres de bois ou d'autres matières ligneuses, même agglomérées avec des résines ou d'autres liants organiques: Panneaux de fibres à densité moyenne dits « MDF »: d'une épaisseur excédant 5 mm mais n'excédant pas 9 mm: non ouvrés mécaniquement ni recouverts en surface (panneaux bruts)</t>
  </si>
  <si>
    <t>CHAPITRE 44 - BOIS, CHARBON DE BOIS ET OUVRAGES EN BOIS: Panneaux de fibres de bois ou d'autres matières ligneuses, même agglomérées avec des résines ou d'autres liants organiques: Panneaux de fibres à densité moyenne dits « MDF »: d'une épaisseur excédant 5 mm mais n'excédant pas 9 mm: non ouvrés mécaniquement ni recouverts en surface</t>
  </si>
  <si>
    <t>CHAPITRE 44 - BOIS, CHARBON DE BOIS ET OUVRAGES EN BOIS: Panneaux de fibres de bois ou d'autres matières ligneuses, même agglomérées avec des résines ou d'autres liants organiques: Panneaux de fibres à densité moyenne dits « MDF »: d'une épaisseur excédant 9 mm: non ouvrés mécaniquement ni recouverts en surface (panneaux bruts)</t>
  </si>
  <si>
    <t>CHAPITRE 44 - BOIS, CHARBON DE BOIS ET OUVRAGES EN BOIS: Panneaux de fibres de bois ou d'autres matières ligneuses, même agglomérées avec des résines ou d'autres liants organiques: Panneaux de fibres à densité moyenne dits « MDF »: d'une épaisseur excédant 9 mm: non ouvrés mécaniquement ni recouverts en surface</t>
  </si>
  <si>
    <t>CHAPITRE 44 - BOIS, CHARBON DE BOIS ET OUVRAGES EN BOIS: Panneaux de fibres de bois ou d'autres matières ligneuses, même agglomérées avec des résines ou d'autres liants organiques: autres: d'une masse volumique excédant 0,8 g/cm³: non ouvrés mécaniquement ni recouverts en surface (panneaux bruts)</t>
  </si>
  <si>
    <t>CHAPITRE 44 - BOIS, CHARBON DE BOIS ET OUVRAGES EN BOIS: Panneaux de fibres de bois ou d'autres matières ligneuses, même agglomérées avec des résines ou d'autres liants organiques: autres: d'une masse volumique excédant 0,8 g/cm³: non ouvrés mécaniquement ni recouverts en surface</t>
  </si>
  <si>
    <t>CHAPITRE 44 - BOIS, CHARBON DE BOIS ET OUVRAGES EN BOIS: Panneaux de fibres de bois ou d'autres matières ligneuses, même agglomérées avec des résines ou d'autres liants organiques: autres: d'une masse volumique n'excédant pas 0,5 g/cm³: non ouvrés mécaniquement ni recouverts en surface (panneaux bruts)</t>
  </si>
  <si>
    <t>CHAPITRE 44 - BOIS, CHARBON DE BOIS ET OUVRAGES EN BOIS: Panneaux de fibres de bois ou d'autres matières ligneuses, même agglomérées avec des résines ou d'autres liants organiques: autres: d'une masse volumique n'excédant pas 0,5 g/cm³: non ouvrés mécaniquement ni recouverts en surface</t>
  </si>
  <si>
    <t>CHAPITRE 44 - BOIS, CHARBON DE BOIS ET OUVRAGES EN BOIS: Autres ouvrages en bois: autres: autres: autres</t>
  </si>
  <si>
    <t>CHAPITRE 44 - BOIS, CHARBON DE BOIS ET OUVRAGES EN BOIS: Autres ouvrages en bois: autres: autres: autres: autres</t>
  </si>
  <si>
    <t>de laine ou de poils fins</t>
  </si>
  <si>
    <t>CHAPITRE 57 - TAPIS ET AUTRES REVÊTEMENTS DE SOL EN MATIÈRES TEXTILES: Tapis et autres revêtements de sol en matières textiles (y compris le gazon), touffetés, même confectionnés: de laine ou de poils fins</t>
  </si>
  <si>
    <t>CHAPITRE 57 - TAPIS ET AUTRES REVÊTEMENTS DE SOL EN MATIÈRES TEXTILES: Tapis et autres revêtements de sol en matières textiles, touffetés, même confectionnés: de laine ou de poils fins</t>
  </si>
  <si>
    <t>Carreaux dont la superficie n'excède pas 1 m²</t>
  </si>
  <si>
    <t>CHAPITRE 57 - TAPIS ET AUTRES REVÊTEMENTS DE SOL EN MATIÈRES TEXTILES: Tapis et autres revêtements de sol en matières textiles (y compris le gazon), touffetés, même confectionnés: d'autres matières textiles: Carreaux dont la superficie n'excède pas 1 m²</t>
  </si>
  <si>
    <t>CHAPITRE 57 - TAPIS ET AUTRES REVÊTEMENTS DE SOL EN MATIÈRES TEXTILES: Tapis et autres revêtements de sol en matières textiles, touffetés, même confectionnés: d'autres matières textiles: Carreaux dont la superficie n'excède pas 1 m²</t>
  </si>
  <si>
    <t>CHAPITRE 57 - TAPIS ET AUTRES REVÊTEMENTS DE SOL EN MATIÈRES TEXTILES: Tapis et autres revêtements de sol en matières textiles (y compris le gazon), touffetés, même confectionnés: d'autres matières textiles: autres</t>
  </si>
  <si>
    <t>CHAPITRE 57 - TAPIS ET AUTRES REVÊTEMENTS DE SOL EN MATIÈRES TEXTILES: Tapis et autres revêtements de sol en matières textiles, touffetés, même confectionnés: d'autres matières textiles: autres</t>
  </si>
  <si>
    <t>Nappes visées à la note 5, point c), du présent chapitre</t>
  </si>
  <si>
    <t>Nappes visées à la note 4, point c), du présent chapitre</t>
  </si>
  <si>
    <t>CHAPITRE 59 - TISSUS IMPRÉGNÉS, ENDUITS, RECOUVERTS OU STRATIFIÉS; ARTICLES TECHNIQUES EN MATIÈRES TEXTILES: Tissus caoutchoutés, autres que ceux du no 5902: autres: autres: Nappes visées à la note 5, point c), du présent chapitre</t>
  </si>
  <si>
    <t>CHAPITRE 59 - TISSUS IMPRÉGNÉS, ENDUITS, RECOUVERTS OU STRATIFIÉS; ARTICLES TECHNIQUES EN MATIÈRES TEXTILES: Tissus caoutchoutés, autres que ceux du no 5902: autres: autres: Nappes visées à la note 4, point c), du présent chapitre</t>
  </si>
  <si>
    <t>Tissus, feutres et tissus doublés de feutre, combinés avec une ou plusieurs couches de caoutchouc, de cuir ou d'autres matières, des types utilisés pour la fabrication de garnitures de cardes, et produits analogues pour d'autres usages techniques, y compris les rubans de velours, imprégnés de caoutchouc, pour le recouvrement des ensouples</t>
  </si>
  <si>
    <t>CHAPITRE 59 - TISSUS IMPRÉGNÉS, ENDUITS, RECOUVERTS OU STRATIFIÉS; ARTICLES TECHNIQUES EN MATIÈRES TEXTILES: Produits et articles textiles pour usages techniques, visés à la note 8 du présent chapitre: Tissus, feutres et tissus doublés de feutre, combinés avec une ou plusieurs couches de caoutchouc, de cuir ou d'autres matières, des types utilisés pour la fabrication de garnitures de cardes, et produits analogues pour d'autres usages techniques, y compris les rubans de velours, imprégnés de caoutchouc, pour le recouvrement des ensouples</t>
  </si>
  <si>
    <t>CHAPITRE 59 - TISSUS IMPRÉGNÉS, ENDUITS, RECOUVERTS OU STRATIFIÉS; ARTICLES TECHNIQUES EN MATIÈRES TEXTILES: Produits et articles textiles pour usages techniques, visés à la note 7 du présent chapitre: Tissus, feutres et tissus doublés de feutre, combinés avec une ou plusieurs couches de caoutchouc, de cuir ou d'autres matières, des types utilisés pour la fabrication de garnitures de cardes, et produits analogues pour d'autres usages techniques, y compris les rubans de velours, imprégnés de caoutchouc, pour le recouvrement des ensouples</t>
  </si>
  <si>
    <t>Gazes et toiles à bluter, même confectionnées</t>
  </si>
  <si>
    <t>CHAPITRE 59 - TISSUS IMPRÉGNÉS, ENDUITS, RECOUVERTS OU STRATIFIÉS; ARTICLES TECHNIQUES EN MATIÈRES TEXTILES: Produits et articles textiles pour usages techniques, visés à la note 8 du présent chapitre: Gazes et toiles à bluter, même confectionnées</t>
  </si>
  <si>
    <t>CHAPITRE 59 - TISSUS IMPRÉGNÉS, ENDUITS, RECOUVERTS OU STRATIFIÉS; ARTICLES TECHNIQUES EN MATIÈRES TEXTILES: Produits et articles textiles pour usages techniques, visés à la note 7 du présent chapitre: Gazes et toiles à bluter, même confectionnées</t>
  </si>
  <si>
    <t>Tissus des types utilisés sur les machines à papier (toile de formation, par exemple)</t>
  </si>
  <si>
    <t>CHAPITRE 59 - TISSUS IMPRÉGNÉS, ENDUITS, RECOUVERTS OU STRATIFIÉS; ARTICLES TECHNIQUES EN MATIÈRES TEXTILES: Produits et articles textiles pour usages techniques, visés à la note 8 du présent chapitre: Tissus et feutres sans fin ou munis de moyens de jonction, des types utilisés sur les machines à papier ou sur des machines similaires (à pâte, à amiante-ciment, par exemple): d'un poids au m² inférieur à 650 g: de soie, de fibres synthétiques ou artificielles: Tissus des types utilisés sur les machines à papier (toile de formation, par exemple)</t>
  </si>
  <si>
    <t>CHAPITRE 59 - TISSUS IMPRÉGNÉS, ENDUITS, RECOUVERTS OU STRATIFIÉS; ARTICLES TECHNIQUES EN MATIÈRES TEXTILES: Produits et articles textiles pour usages techniques, visés à la note 7 du présent chapitre: Tissus et feutres sans fin ou munis de moyens de jonction, des types utilisés sur les machines à papier ou sur des machines similaires (à pâte, à amiante-ciment, par exemple): d'un poids au m² inférieur à 650 g: de soie, de fibres synthétiques ou artificielles: Tissus des types utilisés sur les machines à papier (toile de formation, par exemple)</t>
  </si>
  <si>
    <t>CHAPITRE 59 - TISSUS IMPRÉGNÉS, ENDUITS, RECOUVERTS OU STRATIFIÉS; ARTICLES TECHNIQUES EN MATIÈRES TEXTILES: Produits et articles textiles pour usages techniques, visés à la note 8 du présent chapitre: Tissus et feutres sans fin ou munis de moyens de jonction, des types utilisés sur les machines à papier ou sur des machines similaires (à pâte, à amiante-ciment, par exemple): d'un poids au m² inférieur à 650 g: de soie, de fibres synthétiques ou artificielles: autres</t>
  </si>
  <si>
    <t>CHAPITRE 59 - TISSUS IMPRÉGNÉS, ENDUITS, RECOUVERTS OU STRATIFIÉS; ARTICLES TECHNIQUES EN MATIÈRES TEXTILES: Produits et articles textiles pour usages techniques, visés à la note 7 du présent chapitre: Tissus et feutres sans fin ou munis de moyens de jonction, des types utilisés sur les machines à papier ou sur des machines similaires (à pâte, à amiante-ciment, par exemple): d'un poids au m² inférieur à 650 g: de soie, de fibres synthétiques ou artificielles: autres</t>
  </si>
  <si>
    <t>d'autres matières textiles</t>
  </si>
  <si>
    <t>CHAPITRE 59 - TISSUS IMPRÉGNÉS, ENDUITS, RECOUVERTS OU STRATIFIÉS; ARTICLES TECHNIQUES EN MATIÈRES TEXTILES: Produits et articles textiles pour usages techniques, visés à la note 8 du présent chapitre: Tissus et feutres sans fin ou munis de moyens de jonction, des types utilisés sur les machines à papier ou sur des machines similaires (à pâte, à amiante-ciment, par exemple): d'un poids au m² inférieur à 650 g: d'autres matières textiles</t>
  </si>
  <si>
    <t>CHAPITRE 59 - TISSUS IMPRÉGNÉS, ENDUITS, RECOUVERTS OU STRATIFIÉS; ARTICLES TECHNIQUES EN MATIÈRES TEXTILES: Produits et articles textiles pour usages techniques, visés à la note 7 du présent chapitre: Tissus et feutres sans fin ou munis de moyens de jonction, des types utilisés sur les machines à papier ou sur des machines similaires (à pâte, à amiante-ciment, par exemple): d'un poids au m² inférieur à 650 g: d'autres matières textiles</t>
  </si>
  <si>
    <t>Tissus ayant une couche de natte fixée par aiguilletage, des types utilisés sur les machines à papier (feutres de presse, par exemple)</t>
  </si>
  <si>
    <t>CHAPITRE 59 - TISSUS IMPRÉGNÉS, ENDUITS, RECOUVERTS OU STRATIFIÉS; ARTICLES TECHNIQUES EN MATIÈRES TEXTILES: Produits et articles textiles pour usages techniques, visés à la note 8 du présent chapitre: Tissus et feutres sans fin ou munis de moyens de jonction, des types utilisés sur les machines à papier ou sur des machines similaires (à pâte, à amiante-ciment, par exemple): d'un poids au m² égal ou supérieur à 650 g: de soie, de fibres synthétiques ou artificielles: Tissus ayant une couche de natte fixée par aiguilletage, des types utilisés sur les machines à papier (feutres de presse, par exemple)</t>
  </si>
  <si>
    <t>CHAPITRE 59 - TISSUS IMPRÉGNÉS, ENDUITS, RECOUVERTS OU STRATIFIÉS; ARTICLES TECHNIQUES EN MATIÈRES TEXTILES: Produits et articles textiles pour usages techniques, visés à la note 7 du présent chapitre: Tissus et feutres sans fin ou munis de moyens de jonction, des types utilisés sur les machines à papier ou sur des machines similaires (à pâte, à amiante-ciment, par exemple): d'un poids au m² égal ou supérieur à 650 g: de soie, de fibres synthétiques ou artificielles: Tissus ayant une couche de natte fixée par aiguilletage, des types utilisés sur les machines à papier (feutres de presse, par exemple)</t>
  </si>
  <si>
    <t>CHAPITRE 59 - TISSUS IMPRÉGNÉS, ENDUITS, RECOUVERTS OU STRATIFIÉS; ARTICLES TECHNIQUES EN MATIÈRES TEXTILES: Produits et articles textiles pour usages techniques, visés à la note 8 du présent chapitre: Tissus et feutres sans fin ou munis de moyens de jonction, des types utilisés sur les machines à papier ou sur des machines similaires (à pâte, à amiante-ciment, par exemple): d'un poids au m² égal ou supérieur à 650 g: de soie, de fibres synthétiques ou artificielles: autres</t>
  </si>
  <si>
    <t>CHAPITRE 59 - TISSUS IMPRÉGNÉS, ENDUITS, RECOUVERTS OU STRATIFIÉS; ARTICLES TECHNIQUES EN MATIÈRES TEXTILES: Produits et articles textiles pour usages techniques, visés à la note 7 du présent chapitre: Tissus et feutres sans fin ou munis de moyens de jonction, des types utilisés sur les machines à papier ou sur des machines similaires (à pâte, à amiante-ciment, par exemple): d'un poids au m² égal ou supérieur à 650 g: de soie, de fibres synthétiques ou artificielles: autres</t>
  </si>
  <si>
    <t>CHAPITRE 59 - TISSUS IMPRÉGNÉS, ENDUITS, RECOUVERTS OU STRATIFIÉS; ARTICLES TECHNIQUES EN MATIÈRES TEXTILES: Produits et articles textiles pour usages techniques, visés à la note 8 du présent chapitre: Tissus et feutres sans fin ou munis de moyens de jonction, des types utilisés sur les machines à papier ou sur des machines similaires (à pâte, à amiante-ciment, par exemple): d'un poids au m² égal ou supérieur à 650 g: d'autres matières textiles</t>
  </si>
  <si>
    <t>CHAPITRE 59 - TISSUS IMPRÉGNÉS, ENDUITS, RECOUVERTS OU STRATIFIÉS; ARTICLES TECHNIQUES EN MATIÈRES TEXTILES: Produits et articles textiles pour usages techniques, visés à la note 7 du présent chapitre: Tissus et feutres sans fin ou munis de moyens de jonction, des types utilisés sur les machines à papier ou sur des machines similaires (à pâte, à amiante-ciment, par exemple): d'un poids au m² égal ou supérieur à 650 g: d'autres matières textiles</t>
  </si>
  <si>
    <t>toiles filtrantes, tissus épais et étreindelles des types utilisés sur des presses d’huilerie ou pour des usages techniques analogues, y compris ceux en cheveux</t>
  </si>
  <si>
    <t>Étreindelles et tissus épais des types utilisés sur des presses d'huilerie ou pour des usages techniques analogues, y compris ceux en cheveux</t>
  </si>
  <si>
    <t>CHAPITRE 59 - TISSUS IMPRÉGNÉS, ENDUITS, RECOUVERTS OU STRATIFIÉS; ARTICLES TECHNIQUES EN MATIÈRES TEXTILES: Produits et articles textiles pour usages techniques, visés à la note 8 du présent chapitre: toiles filtrantes, tissus épais et étreindelles des types utilisés sur des presses d’huilerie ou pour des usages techniques analogues, y compris ceux en cheveux</t>
  </si>
  <si>
    <t>CHAPITRE 59 - TISSUS IMPRÉGNÉS, ENDUITS, RECOUVERTS OU STRATIFIÉS; ARTICLES TECHNIQUES EN MATIÈRES TEXTILES: Produits et articles textiles pour usages techniques, visés à la note 7 du présent chapitre: Étreindelles et tissus épais des types utilisés sur des presses d'huilerie ou pour des usages techniques analogues, y compris ceux en cheveux</t>
  </si>
  <si>
    <t>en feutre</t>
  </si>
  <si>
    <t>CHAPITRE 59 - TISSUS IMPRÉGNÉS, ENDUITS, RECOUVERTS OU STRATIFIÉS; ARTICLES TECHNIQUES EN MATIÈRES TEXTILES: Produits et articles textiles pour usages techniques, visés à la note 8 du présent chapitre: autres: en feutre</t>
  </si>
  <si>
    <t>CHAPITRE 59 - TISSUS IMPRÉGNÉS, ENDUITS, RECOUVERTS OU STRATIFIÉS; ARTICLES TECHNIQUES EN MATIÈRES TEXTILES: Produits et articles textiles pour usages techniques, visés à la note 7 du présent chapitre: autres: en feutre</t>
  </si>
  <si>
    <t>Tampons circulaires à polir autoadhésifs du type utilisé pour la fabrication de disques (wafers) à semi-conducteur</t>
  </si>
  <si>
    <t>CHAPITRE 59 - TISSUS IMPRÉGNÉS, ENDUITS, RECOUVERTS OU STRATIFIÉS; ARTICLES TECHNIQUES EN MATIÈRES TEXTILES: Produits et articles textiles pour usages techniques, visés à la note 8 du présent chapitre: autres: autres: Tampons circulaires à polir autoadhésifs du type utilisé pour la fabrication de disques (wafers) à semi-conducteur</t>
  </si>
  <si>
    <t>CHAPITRE 59 - TISSUS IMPRÉGNÉS, ENDUITS, RECOUVERTS OU STRATIFIÉS; ARTICLES TECHNIQUES EN MATIÈRES TEXTILES: Produits et articles textiles pour usages techniques, visés à la note 7 du présent chapitre: autres: autres: Tampons circulaires à polir autoadhésifs du type utilisé pour la fabrication de disques (wafers) à semi-conducteur</t>
  </si>
  <si>
    <t>CHAPITRE 59 - TISSUS IMPRÉGNÉS, ENDUITS, RECOUVERTS OU STRATIFIÉS; ARTICLES TECHNIQUES EN MATIÈRES TEXTILES: Produits et articles textiles pour usages techniques, visés à la note 8 du présent chapitre: autres: autres: Autres</t>
  </si>
  <si>
    <t>CHAPITRE 59 - TISSUS IMPRÉGNÉS, ENDUITS, RECOUVERTS OU STRATIFIÉS; ARTICLES TECHNIQUES EN MATIÈRES TEXTILES: Produits et articles textiles pour usages techniques, visés à la note 7 du présent chapitre: autres: autres: Autres</t>
  </si>
  <si>
    <t>Gants imprégnés, enduits ou recouverts de caoutchouc</t>
  </si>
  <si>
    <t>CHAPITRE 61 - VÊTEMENTS ET ACCESSOIRES DU VÊTEMENT, EN BONNETERIE: Gants, mitaines et moufles, en bonneterie: Imprégnés, enduits, recouverts de matières plastiques ou de caoutchouc ou stratifiés avec ces mêmes matières: Gants imprégnés, enduits ou recouverts de caoutchouc</t>
  </si>
  <si>
    <t>CHAPITRE 61 - VÊTEMENTS ET ACCESSOIRES DU VÊTEMENT, EN BONNETERIE: Gants, mitaines et moufles, en bonneterie: imprégnés, enduits ou recouverts de matière plastique ou de caoutchouc: Gants imprégnés, enduits ou recouverts de caoutchouc</t>
  </si>
  <si>
    <t>CHAPITRE 61 - VÊTEMENTS ET ACCESSOIRES DU VÊTEMENT, EN BONNETERIE: Gants, mitaines et moufles, en bonneterie: Imprégnés, enduits, recouverts de matières plastiques ou de caoutchouc ou stratifiés avec ces mêmes matières: autres</t>
  </si>
  <si>
    <t>CHAPITRE 61 - VÊTEMENTS ET ACCESSOIRES DU VÊTEMENT, EN BONNETERIE: Gants, mitaines et moufles, en bonneterie: imprégnés, enduits ou recouverts de matière plastique ou de caoutchouc: autres</t>
  </si>
  <si>
    <t>autres vêtements, des types visés dans le n°6201</t>
  </si>
  <si>
    <t>autres vêtements, des types visés aux nos 620111 à 620119</t>
  </si>
  <si>
    <t>CHAPITRE 62 - VÊTEMENTS ET ACCESSOIRES DU VÊTEMENT, AUTRES QU'EN BONNETERIE: Vêtements confectionnés en produits des nos 5602, 5603, 5903, 5906 ou 5907: autres vêtements, des types visés dans le n°6201</t>
  </si>
  <si>
    <t>CHAPITRE 62 - VÊTEMENTS ET ACCESSOIRES DU VÊTEMENT, AUTRES QU'EN BONNETERIE: Vêtements confectionnés en produits des nos 5602, 5603, 5903, 5906 ou 5907: autres vêtements, des types visés aux nos 620111 à 620119</t>
  </si>
  <si>
    <t>autres vêtements, des types visés dans le n° 6202</t>
  </si>
  <si>
    <t>autres vêtements, des types visés aux nos 620211 à 620219</t>
  </si>
  <si>
    <t>CHAPITRE 62 - VÊTEMENTS ET ACCESSOIRES DU VÊTEMENT, AUTRES QU'EN BONNETERIE: Vêtements confectionnés en produits des nos 5602, 5603, 5903, 5906 ou 5907: autres vêtements, des types visés dans le n° 6202</t>
  </si>
  <si>
    <t>CHAPITRE 62 - VÊTEMENTS ET ACCESSOIRES DU VÊTEMENT, AUTRES QU'EN BONNETERIE: Vêtements confectionnés en produits des nos 5602, 5603, 5903, 5906 ou 5907: autres vêtements, des types visés aux nos 620211 à 620219</t>
  </si>
  <si>
    <t>de fibres synthétiques</t>
  </si>
  <si>
    <t>CHAPITRE 63 - AUTRES ARTICLES TEXTILES CONFECTIONNÉS; ASSORTIMENTS; FRIPERIE ET CHIFFONS: Bâches et stores d’extérieur; tentes (y compris les tonnelles temporaires et articles similaires); voiles pour embarcations, planches à voile ou chars à voile; articles de campement: Bâches et stores d'extérieur: de fibres synthétiques</t>
  </si>
  <si>
    <t>CHAPITRE 63 - AUTRES ARTICLES TEXTILES CONFECTIONNÉS; ASSORTIMENTS; FRIPERIE ET CHIFFONS: Bâches et stores d'extérieur; tentes; voiles pour embarcations, planches à voile ou chars à voile; articles de campement: Bâches et stores d'extérieur: de fibres synthétiques</t>
  </si>
  <si>
    <t>CHAPITRE 63 - AUTRES ARTICLES TEXTILES CONFECTIONNÉS; ASSORTIMENTS; FRIPERIE ET CHIFFONS: Bâches et stores d’extérieur; tentes (y compris les tonnelles temporaires et articles similaires); voiles pour embarcations, planches à voile ou chars à voile; articles de campement: Bâches et stores d'extérieur: d'autres matières textiles</t>
  </si>
  <si>
    <t>CHAPITRE 63 - AUTRES ARTICLES TEXTILES CONFECTIONNÉS; ASSORTIMENTS; FRIPERIE ET CHIFFONS: Bâches et stores d'extérieur; tentes; voiles pour embarcations, planches à voile ou chars à voile; articles de campement: Bâches et stores d'extérieur: d'autres matières textiles</t>
  </si>
  <si>
    <t>CHAPITRE 63 - AUTRES ARTICLES TEXTILES CONFECTIONNÉS; ASSORTIMENTS; FRIPERIE ET CHIFFONS: Bâches et stores d’extérieur; tentes (y compris les tonnelles temporaires et articles similaires); voiles pour embarcations, planches à voile ou chars à voile; articles de campement: Tentes (y compris les tonnelles temporaires et articles similaires): de fibres synthétiques</t>
  </si>
  <si>
    <t>CHAPITRE 63 - AUTRES ARTICLES TEXTILES CONFECTIONNÉS; ASSORTIMENTS; FRIPERIE ET CHIFFONS: Bâches et stores d'extérieur; tentes; voiles pour embarcations, planches à voile ou chars à voile; articles de campement: Tentes: de fibres synthétiques</t>
  </si>
  <si>
    <t>CHAPITRE 63 - AUTRES ARTICLES TEXTILES CONFECTIONNÉS; ASSORTIMENTS; FRIPERIE ET CHIFFONS: Bâches et stores d’extérieur; tentes (y compris les tonnelles temporaires et articles similaires); voiles pour embarcations, planches à voile ou chars à voile; articles de campement: Tentes (y compris les tonnelles temporaires et articles similaires): d'autres matières textiles</t>
  </si>
  <si>
    <t>CHAPITRE 63 - AUTRES ARTICLES TEXTILES CONFECTIONNÉS; ASSORTIMENTS; FRIPERIE ET CHIFFONS: Bâches et stores d'extérieur; tentes; voiles pour embarcations, planches à voile ou chars à voile; articles de campement: Tentes: d'autres matières textiles</t>
  </si>
  <si>
    <t>Voiles</t>
  </si>
  <si>
    <t>CHAPITRE 63 - AUTRES ARTICLES TEXTILES CONFECTIONNÉS; ASSORTIMENTS; FRIPERIE ET CHIFFONS: Bâches et stores d’extérieur; tentes (y compris les tonnelles temporaires et articles similaires); voiles pour embarcations, planches à voile ou chars à voile; articles de campement: Voiles</t>
  </si>
  <si>
    <t>CHAPITRE 63 - AUTRES ARTICLES TEXTILES CONFECTIONNÉS; ASSORTIMENTS; FRIPERIE ET CHIFFONS: Bâches et stores d'extérieur; tentes; voiles pour embarcations, planches à voile ou chars à voile; articles de campement: Voiles</t>
  </si>
  <si>
    <t>Matelas pneumatiques</t>
  </si>
  <si>
    <t>CHAPITRE 63 - AUTRES ARTICLES TEXTILES CONFECTIONNÉS; ASSORTIMENTS; FRIPERIE ET CHIFFONS: Bâches et stores d’extérieur; tentes (y compris les tonnelles temporaires et articles similaires); voiles pour embarcations, planches à voile ou chars à voile; articles de campement: Matelas pneumatiques</t>
  </si>
  <si>
    <t>CHAPITRE 63 - AUTRES ARTICLES TEXTILES CONFECTIONNÉS; ASSORTIMENTS; FRIPERIE ET CHIFFONS: Bâches et stores d'extérieur; tentes; voiles pour embarcations, planches à voile ou chars à voile; articles de campement: Matelas pneumatiques</t>
  </si>
  <si>
    <t>CHAPITRE 63 - AUTRES ARTICLES TEXTILES CONFECTIONNÉS; ASSORTIMENTS; FRIPERIE ET CHIFFONS: Bâches et stores d’extérieur; tentes (y compris les tonnelles temporaires et articles similaires); voiles pour embarcations, planches à voile ou chars à voile; articles de campement: autres</t>
  </si>
  <si>
    <t>CHAPITRE 63 - AUTRES ARTICLES TEXTILES CONFECTIONNÉS; ASSORTIMENTS; FRIPERIE ET CHIFFONS: Bâches et stores d'extérieur; tentes; voiles pour embarcations, planches à voile ou chars à voile; articles de campement: autres</t>
  </si>
  <si>
    <t>Pièces faciales filtrantes (FFP) conformément à la norme EN149; autres masques conformes à une norme similaire pour les masques servant d’appareils de protection respiratoire contre les particules</t>
  </si>
  <si>
    <t xml:space="preserve">Filtering facepieces (FFP) according to EN149, and other masks filtering at least 80% of O,3 micron particles : </t>
  </si>
  <si>
    <t>CHAPITRE 63 - AUTRES ARTICLES TEXTILES CONFECTIONNÉS; ASSORTIMENTS; FRIPERIE ET CHIFFONS: Autres articles confectionnés, y compris les patrons de vêtements: autres: autres: autres: Masques de protection: Pièces faciales filtrantes (FFP) conformément à la norme EN149; autres masques conformes à une norme similaire pour les masques servant d’appareils de protection respiratoire contre les particules</t>
  </si>
  <si>
    <t>CHAPITRE 63 - AUTRES ARTICLES TEXTILES CONFECTIONNÉS; ASSORTIMENTS; FRIPERIE ET CHIFFONS: Autres articles confectionnés, y compris les patrons de vêtements: autres: autres: autres: Masques de protection: Filtering facepieces (FFP) according to EN149, and other masks filtering at least 80% of O,3 micron particles</t>
  </si>
  <si>
    <t>contenant de la magnésite, de la magnésie sous forme de périclase, de la dolomie y compris sous forme de chaux dolomitique, ou de la chromite</t>
  </si>
  <si>
    <t>contenant de la magnésite, de la dolomie ou de la chromite</t>
  </si>
  <si>
    <t>CHAPITRE 68 - OUVRAGES EN PIERRES, PLÂTRE, CIMENT, AMIANTE, MICA OU MATIÈRES ANALOGUES: Ouvrages en pierre ou en autres matières minérales (y compris les fibres de carbone, les ouvrages en ces matières et en tourbe), non dénommés ni compris ailleurs: autres ouvrages: contenant de la magnésite, de la magnésie sous forme de périclase, de la dolomie y compris sous forme de chaux dolomitique, ou de la chromite</t>
  </si>
  <si>
    <t>CHAPITRE 68 - OUVRAGES EN PIERRES, PLÂTRE, CIMENT, AMIANTE, MICA OU MATIÈRES ANALOGUES: Ouvrages en pierre ou en autres matières minérales (y compris les fibres de carbone, les ouvrages en ces matières et en tourbe), non dénommés ni compris ailleurs: autres ouvrages: contenant de la magnésite, de la dolomie ou de la chromite</t>
  </si>
  <si>
    <t>Contenant en poids plus de 50 % de carbone libre</t>
  </si>
  <si>
    <t>contenant en poids plus de 50 % de graphite ou d'autre carbone ou d'un mélange de ces produits</t>
  </si>
  <si>
    <t>CHAPITRE 69 - PRODUITS CÉRAMIQUES: Autres articles céramiques réfractaires (cornues, creusets, moufles, busettes, tampons, supports, coupelles, tubes, tuyaux, gaines, baguettes, plaques pour tiroir, par exemple), autres que ceux en farines siliceuses fossiles ou en terres siliceuses analogues: Contenant en poids plus de 50 % de carbone libre</t>
  </si>
  <si>
    <t>CHAPITRE 69 - PRODUITS CÉRAMIQUES: Autres articles céramiques réfractaires (cornues, creusets, moufles, busettes, tampons, supports, coupelles, tubes, tuyaux, gaines, baguettes, par exemple), autres que ceux en farines siliceuses fossiles ou en terres siliceuses analogues: contenant en poids plus de 50 % de graphite ou d'autre carbone ou d'un mélange de ces produits</t>
  </si>
  <si>
    <t>contenant en poids moins de 45 % d'alumine (Al2O3)</t>
  </si>
  <si>
    <t>CHAPITRE 69 - PRODUITS CÉRAMIQUES: Autres articles céramiques réfractaires (cornues, creusets, moufles, busettes, tampons, supports, coupelles, tubes, tuyaux, gaines, baguettes, plaques pour tiroir, par exemple), autres que ceux en farines siliceuses fossiles ou en terres siliceuses analogues: contenant en poids plus de 50 % d'alumine (Al2O3) ou d'un mélange ou combinaison d'alumine et de silice (SiO2): contenant en poids moins de 45 % d'alumine (Al2O3)</t>
  </si>
  <si>
    <t>CHAPITRE 69 - PRODUITS CÉRAMIQUES: Autres articles céramiques réfractaires (cornues, creusets, moufles, busettes, tampons, supports, coupelles, tubes, tuyaux, gaines, baguettes, par exemple), autres que ceux en farines siliceuses fossiles ou en terres siliceuses analogues: contenant en poids plus de 50 % d'alumine (Al2O3) ou d'un mélange ou combinaison d'alumine et de silice (SiO2): contenant en poids moins de 45 % d'alumine (Al2O3)</t>
  </si>
  <si>
    <t>contenant en poids 45 % ou plus d'alumine (Al2O3)</t>
  </si>
  <si>
    <t>CHAPITRE 69 - PRODUITS CÉRAMIQUES: Autres articles céramiques réfractaires (cornues, creusets, moufles, busettes, tampons, supports, coupelles, tubes, tuyaux, gaines, baguettes, plaques pour tiroir, par exemple), autres que ceux en farines siliceuses fossiles ou en terres siliceuses analogues: contenant en poids plus de 50 % d'alumine (Al2O3) ou d'un mélange ou combinaison d'alumine et de silice (SiO2): contenant en poids 45 % ou plus d'alumine (Al2O3)</t>
  </si>
  <si>
    <t>CHAPITRE 69 - PRODUITS CÉRAMIQUES: Autres articles céramiques réfractaires (cornues, creusets, moufles, busettes, tampons, supports, coupelles, tubes, tuyaux, gaines, baguettes, par exemple), autres que ceux en farines siliceuses fossiles ou en terres siliceuses analogues: contenant en poids plus de 50 % d'alumine (Al2O3) ou d'un mélange ou combinaison d'alumine et de silice (SiO2): contenant en poids 45 % ou plus d'alumine (Al2O3)</t>
  </si>
  <si>
    <t>contenant en poids plus de 25 % mais pas plus de 50 % de graphite ou d'autre carbone ou d'un mélange de ces produits</t>
  </si>
  <si>
    <t>CHAPITRE 69 - PRODUITS CÉRAMIQUES: Autres articles céramiques réfractaires (cornues, creusets, moufles, busettes, tampons, supports, coupelles, tubes, tuyaux, gaines, baguettes, plaques pour tiroir, par exemple), autres que ceux en farines siliceuses fossiles ou en terres siliceuses analogues: autres: contenant en poids plus de 25 % mais pas plus de 50 % de graphite ou d'autre carbone ou d'un mélange de ces produits</t>
  </si>
  <si>
    <t>CHAPITRE 69 - PRODUITS CÉRAMIQUES: Autres articles céramiques réfractaires (cornues, creusets, moufles, busettes, tampons, supports, coupelles, tubes, tuyaux, gaines, baguettes, par exemple), autres que ceux en farines siliceuses fossiles ou en terres siliceuses analogues: autres: contenant en poids plus de 25 % mais pas plus de 50 % de graphite ou d'autre carbone ou d'un mélange de ces produits</t>
  </si>
  <si>
    <t>CHAPITRE 69 - PRODUITS CÉRAMIQUES: Autres articles céramiques réfractaires (cornues, creusets, moufles, busettes, tampons, supports, coupelles, tubes, tuyaux, gaines, baguettes, plaques pour tiroir, par exemple), autres que ceux en farines siliceuses fossiles ou en terres siliceuses analogues: autres: autres</t>
  </si>
  <si>
    <t>CHAPITRE 69 - PRODUITS CÉRAMIQUES: Autres articles céramiques réfractaires (cornues, creusets, moufles, busettes, tampons, supports, coupelles, tubes, tuyaux, gaines, baguettes, par exemple), autres que ceux en farines siliceuses fossiles ou en terres siliceuses analogues: autres: autres</t>
  </si>
  <si>
    <t>Calcin et autres déchets et débris de verre</t>
  </si>
  <si>
    <t>CHAPITRE 70 - VERRE ET OUVRAGES EN VERRE: Calcin et autres déchets et débris de verre, à l’exclusion du verre de tubes cathodiques et autres verre activés du no 8549; verre en masse: Calcin et autres déchets et débris de verre</t>
  </si>
  <si>
    <t>CHAPITRE 70 - VERRE ET OUVRAGES EN VERRE: Calcin et autres déchets et débris de verre; verre en masse: Calcin et autres déchets et débris de verre</t>
  </si>
  <si>
    <t>Verre d'optique</t>
  </si>
  <si>
    <t>CHAPITRE 70 - VERRE ET OUVRAGES EN VERRE: Calcin et autres déchets et débris de verre, à l’exclusion du verre de tubes cathodiques et autres verre activés du no 8549; verre en masse: Verre en masse: Verre d'optique</t>
  </si>
  <si>
    <t>CHAPITRE 70 - VERRE ET OUVRAGES EN VERRE: Calcin et autres déchets et débris de verre; verre en masse: Verre en masse: Verre d'optique</t>
  </si>
  <si>
    <t>CHAPITRE 70 - VERRE ET OUVRAGES EN VERRE: Calcin et autres déchets et débris de verre, à l’exclusion du verre de tubes cathodiques et autres verre activés du no 8549; verre en masse: Verre en masse: autre</t>
  </si>
  <si>
    <t>CHAPITRE 70 - VERRE ET OUVRAGES EN VERRE: Calcin et autres déchets et débris de verre; verre en masse: Verre en masse: autre</t>
  </si>
  <si>
    <t>pour l'éclairage électrique</t>
  </si>
  <si>
    <t>CHAPITRE 70 - VERRE ET OUVRAGES EN VERRE: Ampoules et enveloppes tubulaires, ouvertes, et leurs parties, en verre, sans garnitures, pour lampes et sources lumineuses électriques, tubes cathodiques ou similaires: pour l'éclairage électrique</t>
  </si>
  <si>
    <t>CHAPITRE 70 - VERRE ET OUVRAGES EN VERRE: Ampoules et enveloppes tubulaires, ouvertes, et leurs parties, en verre, sans garnitures, pour lampes électriques, tubes cathodiques ou similaires: pour l'éclairage électrique</t>
  </si>
  <si>
    <t>pour tubes cathodiques</t>
  </si>
  <si>
    <t>CHAPITRE 70 - VERRE ET OUVRAGES EN VERRE: Ampoules et enveloppes tubulaires, ouvertes, et leurs parties, en verre, sans garnitures, pour lampes et sources lumineuses électriques, tubes cathodiques ou similaires: pour tubes cathodiques</t>
  </si>
  <si>
    <t>CHAPITRE 70 - VERRE ET OUVRAGES EN VERRE: Ampoules et enveloppes tubulaires, ouvertes, et leurs parties, en verre, sans garnitures, pour lampes électriques, tubes cathodiques ou similaires: pour tubes cathodiques</t>
  </si>
  <si>
    <t>CHAPITRE 70 - VERRE ET OUVRAGES EN VERRE: Ampoules et enveloppes tubulaires, ouvertes, et leurs parties, en verre, sans garnitures, pour lampes et sources lumineuses électriques, tubes cathodiques ou similaires: autres</t>
  </si>
  <si>
    <t>CHAPITRE 70 - VERRE ET OUVRAGES EN VERRE: Ampoules et enveloppes tubulaires, ouvertes, et leurs parties, en verre, sans garnitures, pour lampes électriques, tubes cathodiques ou similaires: autres</t>
  </si>
  <si>
    <t>Fils coupés (chopped strands), d'une longueur n'excédant pas 50 mm</t>
  </si>
  <si>
    <t>CHAPITRE 70 - VERRE ET OUVRAGES EN VERRE: Fibres de verre (y compris la laine de verre) et ouvrages en ces matières (fils, stratifils (rovings), tissus, par exemple): Mèches, stratifils (rovings), fils coupés ou non et mats en ces matières: Fils coupés (chopped strands), d'une longueur n'excédant pas 50 mm</t>
  </si>
  <si>
    <t>CHAPITRE 70 - VERRE ET OUVRAGES EN VERRE: Fibres de verre (y compris la laine de verre) et ouvrages en ces matières (fils, tissus, par exemple): Mèches, stratifils (rovings) et fils, coupés ou non: Fils coupés (chopped strands), d'une longueur n'excédant pas 50 mm</t>
  </si>
  <si>
    <t>Stratifils (rovings)</t>
  </si>
  <si>
    <t>CHAPITRE 70 - VERRE ET OUVRAGES EN VERRE: Fibres de verre (y compris la laine de verre) et ouvrages en ces matières (fils, stratifils (rovings), tissus, par exemple): Mèches, stratifils (rovings), fils coupés ou non et mats en ces matières: Stratifils (rovings)</t>
  </si>
  <si>
    <t>CHAPITRE 70 - VERRE ET OUVRAGES EN VERRE: Fibres de verre (y compris la laine de verre) et ouvrages en ces matières (fils, tissus, par exemple): Mèches, stratifils (rovings) et fils, coupés ou non: Stratifils (rovings)</t>
  </si>
  <si>
    <t>CHAPITRE 70 - VERRE ET OUVRAGES EN VERRE: Fibres de verre (y compris la laine de verre) et ouvrages en ces matières (fils, stratifils (rovings), tissus, par exemple): autres</t>
  </si>
  <si>
    <t>CHAPITRE 70 - VERRE ET OUVRAGES EN VERRE: Fibres de verre (y compris la laine de verre) et ouvrages en ces matières (fils, tissus, par exemple): autres</t>
  </si>
  <si>
    <t>Cendres contenant des métaux précieux ou des composés de métaux précieux, à l'exclusion des cendres d'orfèvre</t>
  </si>
  <si>
    <t>CHAPITRE 71 - PERLES FINES OU DE CULTURE, PIERRES GEMMES OU SIMILAIRES, MÉTAUX PRÉCIEUX, PLAQUÉS OU DOUBLÉS DE MÉTAUX PRÉCIEUX ET OUVRAGES EN CES MATIÈRES; BIJOUTERIE DE FANTAISIE; MONNAIES: Déchets et débris de métaux précieux ou de plaqué ou doublé de métaux précieux; autres déchets et débris contenant des métaux précieux ou des composés de métaux précieux du type de ceux utilisés principalement pour la récupération des métaux précieux autres que les produits du n° 8549: Cendres contenant des métaux précieux ou des composés de métaux précieux, à l'exclusion des cendres d'orfèvre</t>
  </si>
  <si>
    <t>CHAPITRE 71 - PERLES FINES OU DE CULTURE, PIERRES GEMMES OU SIMILAIRES, MÉTAUX PRÉCIEUX, PLAQUÉS OU DOUBLÉS DE MÉTAUX PRÉCIEUX ET OUVRAGES EN CES MATIÈRES; BIJOUTERIE DE FANTAISIE; MONNAIES: Déchets et débris de métaux précieux ou de plaqué ou doublé de métaux précieux; autres déchets et débris contenant des métaux précieux ou des composés de métaux précieux du type de ceux utilisés principalement pour la récupération des métaux précieux: Cendres contenant des métaux précieux ou des composés de métaux précieux, à l'exclusion des cendres d'orfèvre</t>
  </si>
  <si>
    <t>d'or, même de plaqué ou doublé d'or, à l'exclusion des cendres d'orfèvre contenant d'autres métaux précieux</t>
  </si>
  <si>
    <t>CHAPITRE 71 - PERLES FINES OU DE CULTURE, PIERRES GEMMES OU SIMILAIRES, MÉTAUX PRÉCIEUX, PLAQUÉS OU DOUBLÉS DE MÉTAUX PRÉCIEUX ET OUVRAGES EN CES MATIÈRES; BIJOUTERIE DE FANTAISIE; MONNAIES: Déchets et débris de métaux précieux ou de plaqué ou doublé de métaux précieux; autres déchets et débris contenant des métaux précieux ou des composés de métaux précieux du type de ceux utilisés principalement pour la récupération des métaux précieux autres que les produits du n° 8549: autres: d'or, même de plaqué ou doublé d'or, à l'exclusion des cendres d'orfèvre contenant d'autres métaux précieux</t>
  </si>
  <si>
    <t>CHAPITRE 71 - PERLES FINES OU DE CULTURE, PIERRES GEMMES OU SIMILAIRES, MÉTAUX PRÉCIEUX, PLAQUÉS OU DOUBLÉS DE MÉTAUX PRÉCIEUX ET OUVRAGES EN CES MATIÈRES; BIJOUTERIE DE FANTAISIE; MONNAIES: Déchets et débris de métaux précieux ou de plaqué ou doublé de métaux précieux; autres déchets et débris contenant des métaux précieux ou des composés de métaux précieux du type de ceux utilisés principalement pour la récupération des métaux précieux: autres: d'or, même de plaqué ou doublé d'or, à l'exclusion des cendres d'orfèvre contenant d'autres métaux précieux</t>
  </si>
  <si>
    <t>de platine, même de plaqué ou doublé de platine, à l'exclusion des cendres d'orfèvre contenant d'autres métaux précieux</t>
  </si>
  <si>
    <t>CHAPITRE 71 - PERLES FINES OU DE CULTURE, PIERRES GEMMES OU SIMILAIRES, MÉTAUX PRÉCIEUX, PLAQUÉS OU DOUBLÉS DE MÉTAUX PRÉCIEUX ET OUVRAGES EN CES MATIÈRES; BIJOUTERIE DE FANTAISIE; MONNAIES: Déchets et débris de métaux précieux ou de plaqué ou doublé de métaux précieux; autres déchets et débris contenant des métaux précieux ou des composés de métaux précieux du type de ceux utilisés principalement pour la récupération des métaux précieux autres que les produits du n° 8549: autres: de platine, même de plaqué ou doublé de platine, à l'exclusion des cendres d'orfèvre contenant d'autres métaux précieux</t>
  </si>
  <si>
    <t>CHAPITRE 71 - PERLES FINES OU DE CULTURE, PIERRES GEMMES OU SIMILAIRES, MÉTAUX PRÉCIEUX, PLAQUÉS OU DOUBLÉS DE MÉTAUX PRÉCIEUX ET OUVRAGES EN CES MATIÈRES; BIJOUTERIE DE FANTAISIE; MONNAIES: Déchets et débris de métaux précieux ou de plaqué ou doublé de métaux précieux; autres déchets et débris contenant des métaux précieux ou des composés de métaux précieux du type de ceux utilisés principalement pour la récupération des métaux précieux: autres: de platine, même de plaqué ou doublé de platine, à l'exclusion des cendres d'orfèvre contenant d'autres métaux précieux</t>
  </si>
  <si>
    <t>CHAPITRE 71 - PERLES FINES OU DE CULTURE, PIERRES GEMMES OU SIMILAIRES, MÉTAUX PRÉCIEUX, PLAQUÉS OU DOUBLÉS DE MÉTAUX PRÉCIEUX ET OUVRAGES EN CES MATIÈRES; BIJOUTERIE DE FANTAISIE; MONNAIES: Déchets et débris de métaux précieux ou de plaqué ou doublé de métaux précieux; autres déchets et débris contenant des métaux précieux ou des composés de métaux précieux du type de ceux utilisés principalement pour la récupération des métaux précieux autres que les produits du n° 8549: autres: autres</t>
  </si>
  <si>
    <t>CHAPITRE 71 - PERLES FINES OU DE CULTURE, PIERRES GEMMES OU SIMILAIRES, MÉTAUX PRÉCIEUX, PLAQUÉS OU DOUBLÉS DE MÉTAUX PRÉCIEUX ET OUVRAGES EN CES MATIÈRES; BIJOUTERIE DE FANTAISIE; MONNAIES: Déchets et débris de métaux précieux ou de plaqué ou doublé de métaux précieux; autres déchets et débris contenant des métaux précieux ou des composés de métaux précieux du type de ceux utilisés principalement pour la récupération des métaux précieux: autres: autres</t>
  </si>
  <si>
    <t>Tire-fond</t>
  </si>
  <si>
    <t>CHAPITRE 73 - OUVRAGES EN FONTE, FER OU ACIER: Vis, boulons, écrous, tire-fond, crochets à pas de vis, rivets, goupilles, clavettes, rondelles (y compris les rondelles destinées à faire ressort) et articles similaires, en fonte, fer ou acier: Articles filetés: Tire-fond</t>
  </si>
  <si>
    <t>CHAPITRE 73 - OUVRAGES EN FONTE, FER OU ACIER: Vis, boulons, écrous, tire-fond, crochets à pas de vis, rivets, goupilles, chevilles, clavettes, rondelles (y compris les rondelles destinées à faire ressort) et articles similaires, en fonte, fer ou acier: Articles filetés: Tire-fond</t>
  </si>
  <si>
    <t>en aciers inoxydables</t>
  </si>
  <si>
    <t>CHAPITRE 73 - OUVRAGES EN FONTE, FER OU ACIER: Vis, boulons, écrous, tire-fond, crochets à pas de vis, rivets, goupilles, clavettes, rondelles (y compris les rondelles destinées à faire ressort) et articles similaires, en fonte, fer ou acier: Articles filetés: autres vis à bois: en aciers inoxydables</t>
  </si>
  <si>
    <t>CHAPITRE 73 - OUVRAGES EN FONTE, FER OU ACIER: Vis, boulons, écrous, tire-fond, crochets à pas de vis, rivets, goupilles, chevilles, clavettes, rondelles (y compris les rondelles destinées à faire ressort) et articles similaires, en fonte, fer ou acier: Articles filetés: autres vis à bois: en aciers inoxydables</t>
  </si>
  <si>
    <t>CHAPITRE 73 - OUVRAGES EN FONTE, FER OU ACIER: Vis, boulons, écrous, tire-fond, crochets à pas de vis, rivets, goupilles, clavettes, rondelles (y compris les rondelles destinées à faire ressort) et articles similaires, en fonte, fer ou acier: Articles filetés: autres vis à bois: autres</t>
  </si>
  <si>
    <t>CHAPITRE 73 - OUVRAGES EN FONTE, FER OU ACIER: Vis, boulons, écrous, tire-fond, crochets à pas de vis, rivets, goupilles, chevilles, clavettes, rondelles (y compris les rondelles destinées à faire ressort) et articles similaires, en fonte, fer ou acier: Articles filetés: autres vis à bois: autres</t>
  </si>
  <si>
    <t>Crochets et pitons à pas de vis</t>
  </si>
  <si>
    <t>CHAPITRE 73 - OUVRAGES EN FONTE, FER OU ACIER: Vis, boulons, écrous, tire-fond, crochets à pas de vis, rivets, goupilles, clavettes, rondelles (y compris les rondelles destinées à faire ressort) et articles similaires, en fonte, fer ou acier: Articles filetés: Crochets et pitons à pas de vis</t>
  </si>
  <si>
    <t>CHAPITRE 73 - OUVRAGES EN FONTE, FER OU ACIER: Vis, boulons, écrous, tire-fond, crochets à pas de vis, rivets, goupilles, chevilles, clavettes, rondelles (y compris les rondelles destinées à faire ressort) et articles similaires, en fonte, fer ou acier: Articles filetés: Crochets et pitons à pas de vis</t>
  </si>
  <si>
    <t>CHAPITRE 73 - OUVRAGES EN FONTE, FER OU ACIER: Vis, boulons, écrous, tire-fond, crochets à pas de vis, rivets, goupilles, clavettes, rondelles (y compris les rondelles destinées à faire ressort) et articles similaires, en fonte, fer ou acier: Articles filetés: Vis autotaraudeuses: en aciers inoxydables</t>
  </si>
  <si>
    <t>CHAPITRE 73 - OUVRAGES EN FONTE, FER OU ACIER: Vis, boulons, écrous, tire-fond, crochets à pas de vis, rivets, goupilles, chevilles, clavettes, rondelles (y compris les rondelles destinées à faire ressort) et articles similaires, en fonte, fer ou acier: Articles filetés: Vis autotaraudeuses: en aciers inoxydables</t>
  </si>
  <si>
    <t>Vis à tôles</t>
  </si>
  <si>
    <t>CHAPITRE 73 - OUVRAGES EN FONTE, FER OU ACIER: Vis, boulons, écrous, tire-fond, crochets à pas de vis, rivets, goupilles, clavettes, rondelles (y compris les rondelles destinées à faire ressort) et articles similaires, en fonte, fer ou acier: Articles filetés: Vis autotaraudeuses: autres: Vis à tôles</t>
  </si>
  <si>
    <t>CHAPITRE 73 - OUVRAGES EN FONTE, FER OU ACIER: Vis, boulons, écrous, tire-fond, crochets à pas de vis, rivets, goupilles, chevilles, clavettes, rondelles (y compris les rondelles destinées à faire ressort) et articles similaires, en fonte, fer ou acier: Articles filetés: Vis autotaraudeuses: autres: Vis à tôles</t>
  </si>
  <si>
    <t>CHAPITRE 73 - OUVRAGES EN FONTE, FER OU ACIER: Vis, boulons, écrous, tire-fond, crochets à pas de vis, rivets, goupilles, clavettes, rondelles (y compris les rondelles destinées à faire ressort) et articles similaires, en fonte, fer ou acier: Articles filetés: Vis autotaraudeuses: autres: autres</t>
  </si>
  <si>
    <t>CHAPITRE 73 - OUVRAGES EN FONTE, FER OU ACIER: Vis, boulons, écrous, tire-fond, crochets à pas de vis, rivets, goupilles, chevilles, clavettes, rondelles (y compris les rondelles destinées à faire ressort) et articles similaires, en fonte, fer ou acier: Articles filetés: Vis autotaraudeuses: autres: autres</t>
  </si>
  <si>
    <t>pour la fixation des éléments de voies ferrées</t>
  </si>
  <si>
    <t>CHAPITRE 73 - OUVRAGES EN FONTE, FER OU ACIER: Vis, boulons, écrous, tire-fond, crochets à pas de vis, rivets, goupilles, clavettes, rondelles (y compris les rondelles destinées à faire ressort) et articles similaires, en fonte, fer ou acier: Articles filetés: autres vis et boulons, même avec leurs écrous ou rondelles: pour la fixation des éléments de voies ferrées</t>
  </si>
  <si>
    <t>CHAPITRE 73 - OUVRAGES EN FONTE, FER OU ACIER: Vis, boulons, écrous, tire-fond, crochets à pas de vis, rivets, goupilles, chevilles, clavettes, rondelles (y compris les rondelles destinées à faire ressort) et articles similaires, en fonte, fer ou acier: Articles filetés: autres vis et boulons, même avec leurs écrous ou rondelles: pour la fixation des éléments de voies ferrées</t>
  </si>
  <si>
    <t>CHAPITRE 73 - OUVRAGES EN FONTE, FER OU ACIER: Vis, boulons, écrous, tire-fond, crochets à pas de vis, rivets, goupilles, clavettes, rondelles (y compris les rondelles destinées à faire ressort) et articles similaires, en fonte, fer ou acier: Articles filetés: autres vis et boulons, même avec leurs écrous ou rondelles: autres: sans tête: en aciers inoxydables</t>
  </si>
  <si>
    <t>CHAPITRE 73 - OUVRAGES EN FONTE, FER OU ACIER: Vis, boulons, écrous, tire-fond, crochets à pas de vis, rivets, goupilles, chevilles, clavettes, rondelles (y compris les rondelles destinées à faire ressort) et articles similaires, en fonte, fer ou acier: Articles filetés: autres vis et boulons, même avec leurs écrous ou rondelles: autres: sans tête: en aciers inoxydables</t>
  </si>
  <si>
    <t>de moins de 800 MPa</t>
  </si>
  <si>
    <t>CHAPITRE 73 - OUVRAGES EN FONTE, FER OU ACIER: Vis, boulons, écrous, tire-fond, crochets à pas de vis, rivets, goupilles, clavettes, rondelles (y compris les rondelles destinées à faire ressort) et articles similaires, en fonte, fer ou acier: Articles filetés: autres vis et boulons, même avec leurs écrous ou rondelles: autres: sans tête: autres, d'une résistance à la traction: de moins de 800 MPa</t>
  </si>
  <si>
    <t>CHAPITRE 73 - OUVRAGES EN FONTE, FER OU ACIER: Vis, boulons, écrous, tire-fond, crochets à pas de vis, rivets, goupilles, chevilles, clavettes, rondelles (y compris les rondelles destinées à faire ressort) et articles similaires, en fonte, fer ou acier: Articles filetés: autres vis et boulons, même avec leurs écrous ou rondelles: autres: sans tête: autres, d'une résistance à la traction: de moins de 800 MPa</t>
  </si>
  <si>
    <t>de 800 MPa ou plus</t>
  </si>
  <si>
    <t>CHAPITRE 73 - OUVRAGES EN FONTE, FER OU ACIER: Vis, boulons, écrous, tire-fond, crochets à pas de vis, rivets, goupilles, clavettes, rondelles (y compris les rondelles destinées à faire ressort) et articles similaires, en fonte, fer ou acier: Articles filetés: autres vis et boulons, même avec leurs écrous ou rondelles: autres: sans tête: autres, d'une résistance à la traction: de 800 MPa ou plus</t>
  </si>
  <si>
    <t>CHAPITRE 73 - OUVRAGES EN FONTE, FER OU ACIER: Vis, boulons, écrous, tire-fond, crochets à pas de vis, rivets, goupilles, chevilles, clavettes, rondelles (y compris les rondelles destinées à faire ressort) et articles similaires, en fonte, fer ou acier: Articles filetés: autres vis et boulons, même avec leurs écrous ou rondelles: autres: sans tête: autres, d'une résistance à la traction: de 800 MPa ou plus</t>
  </si>
  <si>
    <t>CHAPITRE 73 - OUVRAGES EN FONTE, FER OU ACIER: Vis, boulons, écrous, tire-fond, crochets à pas de vis, rivets, goupilles, clavettes, rondelles (y compris les rondelles destinées à faire ressort) et articles similaires, en fonte, fer ou acier: Articles filetés: autres vis et boulons, même avec leurs écrous ou rondelles: autres: avec tête: fendue ou à empreinte cruciforme: en aciers inoxydables</t>
  </si>
  <si>
    <t>CHAPITRE 73 - OUVRAGES EN FONTE, FER OU ACIER: Vis, boulons, écrous, tire-fond, crochets à pas de vis, rivets, goupilles, chevilles, clavettes, rondelles (y compris les rondelles destinées à faire ressort) et articles similaires, en fonte, fer ou acier: Articles filetés: autres vis et boulons, même avec leurs écrous ou rondelles: autres: avec tête: fendue ou à empreinte cruciforme: en aciers inoxydables</t>
  </si>
  <si>
    <t>CHAPITRE 73 - OUVRAGES EN FONTE, FER OU ACIER: Vis, boulons, écrous, tire-fond, crochets à pas de vis, rivets, goupilles, clavettes, rondelles (y compris les rondelles destinées à faire ressort) et articles similaires, en fonte, fer ou acier: Articles filetés: autres vis et boulons, même avec leurs écrous ou rondelles: autres: avec tête: fendue ou à empreinte cruciforme: autres</t>
  </si>
  <si>
    <t>CHAPITRE 73 - OUVRAGES EN FONTE, FER OU ACIER: Vis, boulons, écrous, tire-fond, crochets à pas de vis, rivets, goupilles, chevilles, clavettes, rondelles (y compris les rondelles destinées à faire ressort) et articles similaires, en fonte, fer ou acier: Articles filetés: autres vis et boulons, même avec leurs écrous ou rondelles: autres: avec tête: fendue ou à empreinte cruciforme: autres</t>
  </si>
  <si>
    <t>CHAPITRE 73 - OUVRAGES EN FONTE, FER OU ACIER: Vis, boulons, écrous, tire-fond, crochets à pas de vis, rivets, goupilles, clavettes, rondelles (y compris les rondelles destinées à faire ressort) et articles similaires, en fonte, fer ou acier: Articles filetés: autres vis et boulons, même avec leurs écrous ou rondelles: autres: avec tête: à six pans creux: en aciers inoxydables</t>
  </si>
  <si>
    <t>CHAPITRE 73 - OUVRAGES EN FONTE, FER OU ACIER: Vis, boulons, écrous, tire-fond, crochets à pas de vis, rivets, goupilles, chevilles, clavettes, rondelles (y compris les rondelles destinées à faire ressort) et articles similaires, en fonte, fer ou acier: Articles filetés: autres vis et boulons, même avec leurs écrous ou rondelles: autres: avec tête: à six pans creux: en aciers inoxydables</t>
  </si>
  <si>
    <t>CHAPITRE 73 - OUVRAGES EN FONTE, FER OU ACIER: Vis, boulons, écrous, tire-fond, crochets à pas de vis, rivets, goupilles, clavettes, rondelles (y compris les rondelles destinées à faire ressort) et articles similaires, en fonte, fer ou acier: Articles filetés: autres vis et boulons, même avec leurs écrous ou rondelles: autres: avec tête: à six pans creux: autres</t>
  </si>
  <si>
    <t>CHAPITRE 73 - OUVRAGES EN FONTE, FER OU ACIER: Vis, boulons, écrous, tire-fond, crochets à pas de vis, rivets, goupilles, chevilles, clavettes, rondelles (y compris les rondelles destinées à faire ressort) et articles similaires, en fonte, fer ou acier: Articles filetés: autres vis et boulons, même avec leurs écrous ou rondelles: autres: avec tête: à six pans creux: autres</t>
  </si>
  <si>
    <t>CHAPITRE 73 - OUVRAGES EN FONTE, FER OU ACIER: Vis, boulons, écrous, tire-fond, crochets à pas de vis, rivets, goupilles, clavettes, rondelles (y compris les rondelles destinées à faire ressort) et articles similaires, en fonte, fer ou acier: Articles filetés: autres vis et boulons, même avec leurs écrous ou rondelles: autres: avec tête: hexagonale: en aciers inoxydables</t>
  </si>
  <si>
    <t>CHAPITRE 73 - OUVRAGES EN FONTE, FER OU ACIER: Vis, boulons, écrous, tire-fond, crochets à pas de vis, rivets, goupilles, chevilles, clavettes, rondelles (y compris les rondelles destinées à faire ressort) et articles similaires, en fonte, fer ou acier: Articles filetés: autres vis et boulons, même avec leurs écrous ou rondelles: autres: avec tête: hexagonale: en aciers inoxydables</t>
  </si>
  <si>
    <t>CHAPITRE 73 - OUVRAGES EN FONTE, FER OU ACIER: Vis, boulons, écrous, tire-fond, crochets à pas de vis, rivets, goupilles, clavettes, rondelles (y compris les rondelles destinées à faire ressort) et articles similaires, en fonte, fer ou acier: Articles filetés: autres vis et boulons, même avec leurs écrous ou rondelles: autres: avec tête: hexagonale: autres, d'une résistance à la traction: de moins de 800 MPa</t>
  </si>
  <si>
    <t>CHAPITRE 73 - OUVRAGES EN FONTE, FER OU ACIER: Vis, boulons, écrous, tire-fond, crochets à pas de vis, rivets, goupilles, chevilles, clavettes, rondelles (y compris les rondelles destinées à faire ressort) et articles similaires, en fonte, fer ou acier: Articles filetés: autres vis et boulons, même avec leurs écrous ou rondelles: autres: avec tête: hexagonale: autres, d'une résistance à la traction: de moins de 800 MPa</t>
  </si>
  <si>
    <t>CHAPITRE 73 - OUVRAGES EN FONTE, FER OU ACIER: Vis, boulons, écrous, tire-fond, crochets à pas de vis, rivets, goupilles, clavettes, rondelles (y compris les rondelles destinées à faire ressort) et articles similaires, en fonte, fer ou acier: Articles filetés: autres vis et boulons, même avec leurs écrous ou rondelles: autres: avec tête: hexagonale: autres, d'une résistance à la traction: de 800 MPa ou plus</t>
  </si>
  <si>
    <t>CHAPITRE 73 - OUVRAGES EN FONTE, FER OU ACIER: Vis, boulons, écrous, tire-fond, crochets à pas de vis, rivets, goupilles, chevilles, clavettes, rondelles (y compris les rondelles destinées à faire ressort) et articles similaires, en fonte, fer ou acier: Articles filetés: autres vis et boulons, même avec leurs écrous ou rondelles: autres: avec tête: hexagonale: autres, d'une résistance à la traction: de 800 MPa ou plus</t>
  </si>
  <si>
    <t>CHAPITRE 73 - OUVRAGES EN FONTE, FER OU ACIER: Vis, boulons, écrous, tire-fond, crochets à pas de vis, rivets, goupilles, clavettes, rondelles (y compris les rondelles destinées à faire ressort) et articles similaires, en fonte, fer ou acier: Articles filetés: autres vis et boulons, même avec leurs écrous ou rondelles: autres: avec tête: autres</t>
  </si>
  <si>
    <t>CHAPITRE 73 - OUVRAGES EN FONTE, FER OU ACIER: Vis, boulons, écrous, tire-fond, crochets à pas de vis, rivets, goupilles, chevilles, clavettes, rondelles (y compris les rondelles destinées à faire ressort) et articles similaires, en fonte, fer ou acier: Articles filetés: autres vis et boulons, même avec leurs écrous ou rondelles: autres: avec tête: autres</t>
  </si>
  <si>
    <t>Écrous à sertir</t>
  </si>
  <si>
    <t>CHAPITRE 73 - OUVRAGES EN FONTE, FER OU ACIER: Vis, boulons, écrous, tire-fond, crochets à pas de vis, rivets, goupilles, clavettes, rondelles (y compris les rondelles destinées à faire ressort) et articles similaires, en fonte, fer ou acier: Articles filetés: Écrous: en aciers inoxydables: Écrous à sertir</t>
  </si>
  <si>
    <t>CHAPITRE 73 - OUVRAGES EN FONTE, FER OU ACIER: Vis, boulons, écrous, tire-fond, crochets à pas de vis, rivets, goupilles, chevilles, clavettes, rondelles (y compris les rondelles destinées à faire ressort) et articles similaires, en fonte, fer ou acier: Articles filetés: Écrous: en aciers inoxydables: Écrous à sertir</t>
  </si>
  <si>
    <t>CHAPITRE 73 - OUVRAGES EN FONTE, FER OU ACIER: Vis, boulons, écrous, tire-fond, crochets à pas de vis, rivets, goupilles, clavettes, rondelles (y compris les rondelles destinées à faire ressort) et articles similaires, en fonte, fer ou acier: Articles filetés: Écrous: en aciers inoxydables: autres</t>
  </si>
  <si>
    <t>CHAPITRE 73 - OUVRAGES EN FONTE, FER OU ACIER: Vis, boulons, écrous, tire-fond, crochets à pas de vis, rivets, goupilles, chevilles, clavettes, rondelles (y compris les rondelles destinées à faire ressort) et articles similaires, en fonte, fer ou acier: Articles filetés: Écrous: en aciers inoxydables: autres</t>
  </si>
  <si>
    <t>CHAPITRE 73 - OUVRAGES EN FONTE, FER OU ACIER: Vis, boulons, écrous, tire-fond, crochets à pas de vis, rivets, goupilles, clavettes, rondelles (y compris les rondelles destinées à faire ressort) et articles similaires, en fonte, fer ou acier: Articles filetés: Écrous: autres: Écrous à sertir</t>
  </si>
  <si>
    <t>CHAPITRE 73 - OUVRAGES EN FONTE, FER OU ACIER: Vis, boulons, écrous, tire-fond, crochets à pas de vis, rivets, goupilles, chevilles, clavettes, rondelles (y compris les rondelles destinées à faire ressort) et articles similaires, en fonte, fer ou acier: Articles filetés: Écrous: autres: Écrous à sertir</t>
  </si>
  <si>
    <t>de sécurité</t>
  </si>
  <si>
    <t>CHAPITRE 73 - OUVRAGES EN FONTE, FER OU ACIER: Vis, boulons, écrous, tire-fond, crochets à pas de vis, rivets, goupilles, clavettes, rondelles (y compris les rondelles destinées à faire ressort) et articles similaires, en fonte, fer ou acier: Articles filetés: Écrous: autres: de sécurité</t>
  </si>
  <si>
    <t>CHAPITRE 73 - OUVRAGES EN FONTE, FER OU ACIER: Vis, boulons, écrous, tire-fond, crochets à pas de vis, rivets, goupilles, chevilles, clavettes, rondelles (y compris les rondelles destinées à faire ressort) et articles similaires, en fonte, fer ou acier: Articles filetés: Écrous: autres: de sécurité</t>
  </si>
  <si>
    <t>n'excédant pas 12 mm</t>
  </si>
  <si>
    <t>CHAPITRE 73 - OUVRAGES EN FONTE, FER OU ACIER: Vis, boulons, écrous, tire-fond, crochets à pas de vis, rivets, goupilles, clavettes, rondelles (y compris les rondelles destinées à faire ressort) et articles similaires, en fonte, fer ou acier: Articles filetés: Écrous: autres: autres, d'un diamètre intérieur: n'excédant pas 12 mm</t>
  </si>
  <si>
    <t>CHAPITRE 73 - OUVRAGES EN FONTE, FER OU ACIER: Vis, boulons, écrous, tire-fond, crochets à pas de vis, rivets, goupilles, chevilles, clavettes, rondelles (y compris les rondelles destinées à faire ressort) et articles similaires, en fonte, fer ou acier: Articles filetés: Écrous: autres: autres, d'un diamètre intérieur: n'excédant pas 12 mm</t>
  </si>
  <si>
    <t>excédant 12 mm</t>
  </si>
  <si>
    <t>CHAPITRE 73 - OUVRAGES EN FONTE, FER OU ACIER: Vis, boulons, écrous, tire-fond, crochets à pas de vis, rivets, goupilles, clavettes, rondelles (y compris les rondelles destinées à faire ressort) et articles similaires, en fonte, fer ou acier: Articles filetés: Écrous: autres: autres, d'un diamètre intérieur: excédant 12 mm</t>
  </si>
  <si>
    <t>CHAPITRE 73 - OUVRAGES EN FONTE, FER OU ACIER: Vis, boulons, écrous, tire-fond, crochets à pas de vis, rivets, goupilles, chevilles, clavettes, rondelles (y compris les rondelles destinées à faire ressort) et articles similaires, en fonte, fer ou acier: Articles filetés: Écrous: autres: autres, d'un diamètre intérieur: excédant 12 mm</t>
  </si>
  <si>
    <t>CHAPITRE 73 - OUVRAGES EN FONTE, FER OU ACIER: Vis, boulons, écrous, tire-fond, crochets à pas de vis, rivets, goupilles, clavettes, rondelles (y compris les rondelles destinées à faire ressort) et articles similaires, en fonte, fer ou acier: Articles filetés: autres</t>
  </si>
  <si>
    <t>CHAPITRE 73 - OUVRAGES EN FONTE, FER OU ACIER: Vis, boulons, écrous, tire-fond, crochets à pas de vis, rivets, goupilles, chevilles, clavettes, rondelles (y compris les rondelles destinées à faire ressort) et articles similaires, en fonte, fer ou acier: Articles filetés: autres</t>
  </si>
  <si>
    <t>Rondelles destinées à faire ressort et autres rondelles de blocage</t>
  </si>
  <si>
    <t>CHAPITRE 73 - OUVRAGES EN FONTE, FER OU ACIER: Vis, boulons, écrous, tire-fond, crochets à pas de vis, rivets, goupilles, clavettes, rondelles (y compris les rondelles destinées à faire ressort) et articles similaires, en fonte, fer ou acier: Articles non filetés: Rondelles destinées à faire ressort et autres rondelles de blocage</t>
  </si>
  <si>
    <t>CHAPITRE 73 - OUVRAGES EN FONTE, FER OU ACIER: Vis, boulons, écrous, tire-fond, crochets à pas de vis, rivets, goupilles, chevilles, clavettes, rondelles (y compris les rondelles destinées à faire ressort) et articles similaires, en fonte, fer ou acier: Articles non filetés: Rondelles destinées à faire ressort et autres rondelles de blocage</t>
  </si>
  <si>
    <t>autres rondelles</t>
  </si>
  <si>
    <t>CHAPITRE 73 - OUVRAGES EN FONTE, FER OU ACIER: Vis, boulons, écrous, tire-fond, crochets à pas de vis, rivets, goupilles, clavettes, rondelles (y compris les rondelles destinées à faire ressort) et articles similaires, en fonte, fer ou acier: Articles non filetés: autres rondelles</t>
  </si>
  <si>
    <t>CHAPITRE 73 - OUVRAGES EN FONTE, FER OU ACIER: Vis, boulons, écrous, tire-fond, crochets à pas de vis, rivets, goupilles, chevilles, clavettes, rondelles (y compris les rondelles destinées à faire ressort) et articles similaires, en fonte, fer ou acier: Articles non filetés: autres rondelles</t>
  </si>
  <si>
    <t>Rivets</t>
  </si>
  <si>
    <t>CHAPITRE 73 - OUVRAGES EN FONTE, FER OU ACIER: Vis, boulons, écrous, tire-fond, crochets à pas de vis, rivets, goupilles, clavettes, rondelles (y compris les rondelles destinées à faire ressort) et articles similaires, en fonte, fer ou acier: Articles non filetés: Rivets</t>
  </si>
  <si>
    <t>CHAPITRE 73 - OUVRAGES EN FONTE, FER OU ACIER: Vis, boulons, écrous, tire-fond, crochets à pas de vis, rivets, goupilles, chevilles, clavettes, rondelles (y compris les rondelles destinées à faire ressort) et articles similaires, en fonte, fer ou acier: Articles non filetés: Rivets</t>
  </si>
  <si>
    <t>Goupilles et clavettes</t>
  </si>
  <si>
    <t>Goupilles, chevilles et clavettes</t>
  </si>
  <si>
    <t>CHAPITRE 73 - OUVRAGES EN FONTE, FER OU ACIER: Vis, boulons, écrous, tire-fond, crochets à pas de vis, rivets, goupilles, clavettes, rondelles (y compris les rondelles destinées à faire ressort) et articles similaires, en fonte, fer ou acier: Articles non filetés: Goupilles et clavettes</t>
  </si>
  <si>
    <t>CHAPITRE 73 - OUVRAGES EN FONTE, FER OU ACIER: Vis, boulons, écrous, tire-fond, crochets à pas de vis, rivets, goupilles, chevilles, clavettes, rondelles (y compris les rondelles destinées à faire ressort) et articles similaires, en fonte, fer ou acier: Articles non filetés: Goupilles, chevilles et clavettes</t>
  </si>
  <si>
    <t>CHAPITRE 73 - OUVRAGES EN FONTE, FER OU ACIER: Vis, boulons, écrous, tire-fond, crochets à pas de vis, rivets, goupilles, clavettes, rondelles (y compris les rondelles destinées à faire ressort) et articles similaires, en fonte, fer ou acier: Articles non filetés: autres</t>
  </si>
  <si>
    <t>CHAPITRE 73 - OUVRAGES EN FONTE, FER OU ACIER: Vis, boulons, écrous, tire-fond, crochets à pas de vis, rivets, goupilles, chevilles, clavettes, rondelles (y compris les rondelles destinées à faire ressort) et articles similaires, en fonte, fer ou acier: Articles non filetés: autres</t>
  </si>
  <si>
    <t>inférieure à 3 mm</t>
  </si>
  <si>
    <t>inférieure à 3 mm</t>
  </si>
  <si>
    <t>CHAPITRE 76 - ALUMINIUM ET OUVRAGES EN ALUMINIUM: Tôles et bandes en aluminium, d'une épaisseur excédant 0,2 mm: de forme carrée ou rectangulaire: en aluminium non allié: autres: autres, d'une épaisseur: inférieure à 3 mm</t>
  </si>
  <si>
    <t>CHAPITRE 76 - ALUMINIUM ET OUVRAGES EN ALUMINIUM: Tôles et bandes en aluminium, d'une épaisseur excédant 0,2 mm: de forme carrée ou rectangulaire: en aluminium non allié: autres, d'une épaisseur: inférieure à 3 mm</t>
  </si>
  <si>
    <t>de 3 mm ou plus mais inférieure à 6 mm</t>
  </si>
  <si>
    <t>de 3 mm ou plus mais inférieure à 6 mm</t>
  </si>
  <si>
    <t>CHAPITRE 76 - ALUMINIUM ET OUVRAGES EN ALUMINIUM: Tôles et bandes en aluminium, d'une épaisseur excédant 0,2 mm: de forme carrée ou rectangulaire: en aluminium non allié: autres: autres, d'une épaisseur: de 3 mm ou plus mais inférieure à 6 mm</t>
  </si>
  <si>
    <t>CHAPITRE 76 - ALUMINIUM ET OUVRAGES EN ALUMINIUM: Tôles et bandes en aluminium, d'une épaisseur excédant 0,2 mm: de forme carrée ou rectangulaire: en aluminium non allié: autres, d'une épaisseur: de 3 mm ou plus mais inférieure à 6 mm</t>
  </si>
  <si>
    <t>de 6 mm ou plus</t>
  </si>
  <si>
    <t>de 6 mm ou plus</t>
  </si>
  <si>
    <t>CHAPITRE 76 - ALUMINIUM ET OUVRAGES EN ALUMINIUM: Tôles et bandes en aluminium, d'une épaisseur excédant 0,2 mm: de forme carrée ou rectangulaire: en aluminium non allié: autres: autres, d'une épaisseur: de 6 mm ou plus</t>
  </si>
  <si>
    <t>CHAPITRE 76 - ALUMINIUM ET OUVRAGES EN ALUMINIUM: Tôles et bandes en aluminium, d'une épaisseur excédant 0,2 mm: de forme carrée ou rectangulaire: en aluminium non allié: autres, d'une épaisseur: de 6 mm ou plus</t>
  </si>
  <si>
    <t>Feuilles et bandes, d'une épaisseur n'excédant pas 0,2 mm (support non compris)</t>
  </si>
  <si>
    <t>CHAPITRE 78 - PLOMB ET OUVRAGES EN PLOMB: Tôles, feuilles et bandes, en plomb; poudres et paillettes de plomb: Tôles, feuilles et bandes: Feuilles et bandes, d'une épaisseur n'excédant pas 0,2 mm (support non compris)</t>
  </si>
  <si>
    <t>CHAPITRE 78 - PLOMB ET OUVRAGES EN PLOMB: Tables, feuilles et bandes, en plomb; poudres et paillettes de plomb: Tables, feuilles et bandes: Feuilles et bandes, d'une épaisseur n'excédant pas 0,2 mm (support non compris)</t>
  </si>
  <si>
    <t>CHAPITRE 78 - PLOMB ET OUVRAGES EN PLOMB: Tôles, feuilles et bandes, en plomb; poudres et paillettes de plomb: Tôles, feuilles et bandes: autres</t>
  </si>
  <si>
    <t>CHAPITRE 78 - PLOMB ET OUVRAGES EN PLOMB: Tables, feuilles et bandes, en plomb; poudres et paillettes de plomb: Tables, feuilles et bandes: autres</t>
  </si>
  <si>
    <t>Poudres et paillettes</t>
  </si>
  <si>
    <t>CHAPITRE 78 - PLOMB ET OUVRAGES EN PLOMB: Tôles, feuilles et bandes, en plomb; poudres et paillettes de plomb: Poudres et paillettes</t>
  </si>
  <si>
    <t>CHAPITRE 78 - PLOMB ET OUVRAGES EN PLOMB: Tables, feuilles et bandes, en plomb; poudres et paillettes de plomb: Poudres et paillettes</t>
  </si>
  <si>
    <t>sous forme brute; poudres</t>
  </si>
  <si>
    <t>CHAPITRE 81 - AUTRES MÉTAUX COMMUNS; CERMETS; OUVRAGES EN CES MATIÈRES: Béryllium, chrome, hafnium (celtium), rhénium, thallium, cadmium, germanium, vanadium, gallium, indium et niobium (columbium), ainsi que les ouvrages en ces métaux, y compris les déchets et débris: Béryllium: sous forme brute; poudres</t>
  </si>
  <si>
    <t>CHAPITRE 81 - AUTRES MÉTAUX COMMUNS; CERMETS; OUVRAGES EN CES MATIÈRES: Béryllium, chrome, germanium, vanadium, gallium, hafnium (celtium), indium, niobium (columbium), rhénium et thallium, ainsi que les ouvrages en ces métaux, y compris les déchets et débris: Béryllium: sous forme brute; poudres</t>
  </si>
  <si>
    <t>Déchets et débris</t>
  </si>
  <si>
    <t>CHAPITRE 81 - AUTRES MÉTAUX COMMUNS; CERMETS; OUVRAGES EN CES MATIÈRES: Béryllium, chrome, hafnium (celtium), rhénium, thallium, cadmium, germanium, vanadium, gallium, indium et niobium (columbium), ainsi que les ouvrages en ces métaux, y compris les déchets et débris: Béryllium: Déchets et débris</t>
  </si>
  <si>
    <t>CHAPITRE 81 - AUTRES MÉTAUX COMMUNS; CERMETS; OUVRAGES EN CES MATIÈRES: Béryllium, chrome, germanium, vanadium, gallium, hafnium (celtium), indium, niobium (columbium), rhénium et thallium, ainsi que les ouvrages en ces métaux, y compris les déchets et débris: Béryllium: Déchets et débris</t>
  </si>
  <si>
    <t>CHAPITRE 81 - AUTRES MÉTAUX COMMUNS; CERMETS; OUVRAGES EN CES MATIÈRES: Béryllium, chrome, hafnium (celtium), rhénium, thallium, cadmium, germanium, vanadium, gallium, indium et niobium (columbium), ainsi que les ouvrages en ces métaux, y compris les déchets et débris: Béryllium: autres</t>
  </si>
  <si>
    <t>CHAPITRE 81 - AUTRES MÉTAUX COMMUNS; CERMETS; OUVRAGES EN CES MATIÈRES: Béryllium, chrome, germanium, vanadium, gallium, hafnium (celtium), indium, niobium (columbium), rhénium et thallium, ainsi que les ouvrages en ces métaux, y compris les déchets et débris: Béryllium: autres</t>
  </si>
  <si>
    <t>Alliages de chrome contenant en poids plus de 10 % de nickel</t>
  </si>
  <si>
    <t>CHAPITRE 81 - AUTRES MÉTAUX COMMUNS; CERMETS; OUVRAGES EN CES MATIÈRES: Béryllium, chrome, hafnium (celtium), rhénium, thallium, cadmium, germanium, vanadium, gallium, indium et niobium (columbium), ainsi que les ouvrages en ces métaux, y compris les déchets et débris: Chrome: sous forme brute; poudres: Alliages de chrome contenant en poids plus de 10 % de nickel</t>
  </si>
  <si>
    <t>CHAPITRE 81 - AUTRES MÉTAUX COMMUNS; CERMETS; OUVRAGES EN CES MATIÈRES: Béryllium, chrome, germanium, vanadium, gallium, hafnium (celtium), indium, niobium (columbium), rhénium et thallium, ainsi que les ouvrages en ces métaux, y compris les déchets et débris: Chrome: sous forme brute; poudres: Alliages de chrome contenant en poids plus de 10 % de nickel</t>
  </si>
  <si>
    <t>CHAPITRE 81 - AUTRES MÉTAUX COMMUNS; CERMETS; OUVRAGES EN CES MATIÈRES: Béryllium, chrome, hafnium (celtium), rhénium, thallium, cadmium, germanium, vanadium, gallium, indium et niobium (columbium), ainsi que les ouvrages en ces métaux, y compris les déchets et débris: Chrome: sous forme brute; poudres: autres</t>
  </si>
  <si>
    <t>CHAPITRE 81 - AUTRES MÉTAUX COMMUNS; CERMETS; OUVRAGES EN CES MATIÈRES: Béryllium, chrome, germanium, vanadium, gallium, hafnium (celtium), indium, niobium (columbium), rhénium et thallium, ainsi que les ouvrages en ces métaux, y compris les déchets et débris: Chrome: sous forme brute; poudres: autres</t>
  </si>
  <si>
    <t>CHAPITRE 81 - AUTRES MÉTAUX COMMUNS; CERMETS; OUVRAGES EN CES MATIÈRES: Béryllium, chrome, hafnium (celtium), rhénium, thallium, cadmium, germanium, vanadium, gallium, indium et niobium (columbium), ainsi que les ouvrages en ces métaux, y compris les déchets et débris: Chrome: Déchets et débris</t>
  </si>
  <si>
    <t>CHAPITRE 81 - AUTRES MÉTAUX COMMUNS; CERMETS; OUVRAGES EN CES MATIÈRES: Béryllium, chrome, germanium, vanadium, gallium, hafnium (celtium), indium, niobium (columbium), rhénium et thallium, ainsi que les ouvrages en ces métaux, y compris les déchets et débris: Chrome: Déchets et débris</t>
  </si>
  <si>
    <t>CHAPITRE 81 - AUTRES MÉTAUX COMMUNS; CERMETS; OUVRAGES EN CES MATIÈRES: Béryllium, chrome, hafnium (celtium), rhénium, thallium, cadmium, germanium, vanadium, gallium, indium et niobium (columbium), ainsi que les ouvrages en ces métaux, y compris les déchets et débris: Chrome: autres</t>
  </si>
  <si>
    <t>CHAPITRE 81 - AUTRES MÉTAUX COMMUNS; CERMETS; OUVRAGES EN CES MATIÈRES: Béryllium, chrome, germanium, vanadium, gallium, hafnium (celtium), indium, niobium (columbium), rhénium et thallium, ainsi que les ouvrages en ces métaux, y compris les déchets et débris: Chrome: autres</t>
  </si>
  <si>
    <t>CHAPITRE 81 - AUTRES MÉTAUX COMMUNS; CERMETS; OUVRAGES EN CES MATIÈRES: Béryllium, chrome, hafnium (celtium), rhénium, thallium, cadmium, germanium, vanadium, gallium, indium et niobium (columbium), ainsi que les ouvrages en ces métaux, y compris les déchets et débris: Thallium: sous forme brute; poudres</t>
  </si>
  <si>
    <t>CHAPITRE 81 - AUTRES MÉTAUX COMMUNS; CERMETS; OUVRAGES EN CES MATIÈRES: Béryllium, chrome, germanium, vanadium, gallium, hafnium (celtium), indium, niobium (columbium), rhénium et thallium, ainsi que les ouvrages en ces métaux, y compris les déchets et débris: Thallium: sous forme brute; poudres</t>
  </si>
  <si>
    <t>CHAPITRE 81 - AUTRES MÉTAUX COMMUNS; CERMETS; OUVRAGES EN CES MATIÈRES: Béryllium, chrome, hafnium (celtium), rhénium, thallium, cadmium, germanium, vanadium, gallium, indium et niobium (columbium), ainsi que les ouvrages en ces métaux, y compris les déchets et débris: Thallium: Déchets et débris</t>
  </si>
  <si>
    <t>CHAPITRE 81 - AUTRES MÉTAUX COMMUNS; CERMETS; OUVRAGES EN CES MATIÈRES: Béryllium, chrome, germanium, vanadium, gallium, hafnium (celtium), indium, niobium (columbium), rhénium et thallium, ainsi que les ouvrages en ces métaux, y compris les déchets et débris: Thallium: Déchets et débris</t>
  </si>
  <si>
    <t>CHAPITRE 81 - AUTRES MÉTAUX COMMUNS; CERMETS; OUVRAGES EN CES MATIÈRES: Béryllium, chrome, hafnium (celtium), rhénium, thallium, cadmium, germanium, vanadium, gallium, indium et niobium (columbium), ainsi que les ouvrages en ces métaux, y compris les déchets et débris: Thallium: autres</t>
  </si>
  <si>
    <t>CHAPITRE 81 - AUTRES MÉTAUX COMMUNS; CERMETS; OUVRAGES EN CES MATIÈRES: Béryllium, chrome, germanium, vanadium, gallium, hafnium (celtium), indium, niobium (columbium), rhénium et thallium, ainsi que les ouvrages en ces métaux, y compris les déchets et débris: Thallium: autres</t>
  </si>
  <si>
    <t>CHAPITRE 81 - AUTRES MÉTAUX COMMUNS; CERMETS; OUVRAGES EN CES MATIÈRES: Béryllium, chrome, hafnium (celtium), rhénium, thallium, cadmium, germanium, vanadium, gallium, indium et niobium (columbium), ainsi que les ouvrages en ces métaux, y compris les déchets et débris: autres: sous forme brute; déchets et débris; poudres: Niobium (columbium), gallium, indium, vanadium, germanium: Déchets et débris</t>
  </si>
  <si>
    <t>CHAPITRE 81 - AUTRES MÉTAUX COMMUNS; CERMETS; OUVRAGES EN CES MATIÈRES: Béryllium, chrome, germanium, vanadium, gallium, hafnium (celtium), indium, niobium (columbium), rhénium et thallium, ainsi que les ouvrages en ces métaux, y compris les déchets et débris: autres: sous forme brute; déchets et débris; poudres: Niobium (columbium), rhénium, gallium, indium, vanadium, germanium: Déchets et débris</t>
  </si>
  <si>
    <t>CHAPITRE 81 - AUTRES MÉTAUX COMMUNS; CERMETS; OUVRAGES EN CES MATIÈRES: Béryllium, chrome, hafnium (celtium), rhénium, thallium, cadmium, germanium, vanadium, gallium, indium et niobium (columbium), ainsi que les ouvrages en ces métaux, y compris les déchets et débris: autres: sous forme brute; déchets et débris; poudres: Niobium (columbium), gallium, indium, vanadium, germanium: autres: Indium</t>
  </si>
  <si>
    <t>CHAPITRE 81 - AUTRES MÉTAUX COMMUNS; CERMETS; OUVRAGES EN CES MATIÈRES: Béryllium, chrome, germanium, vanadium, gallium, hafnium (celtium), indium, niobium (columbium), rhénium et thallium, ainsi que les ouvrages en ces métaux, y compris les déchets et débris: autres: sous forme brute; déchets et débris; poudres: Niobium (columbium), rhénium, gallium, indium, vanadium, germanium: autres: Indium</t>
  </si>
  <si>
    <t>CHAPITRE 81 - AUTRES MÉTAUX COMMUNS; CERMETS; OUVRAGES EN CES MATIÈRES: Béryllium, chrome, hafnium (celtium), rhénium, thallium, cadmium, germanium, vanadium, gallium, indium et niobium (columbium), ainsi que les ouvrages en ces métaux, y compris les déchets et débris: autres: sous forme brute; déchets et débris; poudres: Niobium (columbium), gallium, indium, vanadium, germanium: autres: Gallium</t>
  </si>
  <si>
    <t>CHAPITRE 81 - AUTRES MÉTAUX COMMUNS; CERMETS; OUVRAGES EN CES MATIÈRES: Béryllium, chrome, germanium, vanadium, gallium, hafnium (celtium), indium, niobium (columbium), rhénium et thallium, ainsi que les ouvrages en ces métaux, y compris les déchets et débris: autres: sous forme brute; déchets et débris; poudres: Niobium (columbium), rhénium, gallium, indium, vanadium, germanium: autres: Gallium</t>
  </si>
  <si>
    <t>CHAPITRE 81 - AUTRES MÉTAUX COMMUNS; CERMETS; OUVRAGES EN CES MATIÈRES: Béryllium, chrome, hafnium (celtium), rhénium, thallium, cadmium, germanium, vanadium, gallium, indium et niobium (columbium), ainsi que les ouvrages en ces métaux, y compris les déchets et débris: autres: sous forme brute; déchets et débris; poudres: Niobium (columbium), gallium, indium, vanadium, germanium: autres: Vanadium</t>
  </si>
  <si>
    <t>CHAPITRE 81 - AUTRES MÉTAUX COMMUNS; CERMETS; OUVRAGES EN CES MATIÈRES: Béryllium, chrome, germanium, vanadium, gallium, hafnium (celtium), indium, niobium (columbium), rhénium et thallium, ainsi que les ouvrages en ces métaux, y compris les déchets et débris: autres: sous forme brute; déchets et débris; poudres: Niobium (columbium), rhénium, gallium, indium, vanadium, germanium: autres: Vanadium</t>
  </si>
  <si>
    <t>CHAPITRE 81 - AUTRES MÉTAUX COMMUNS; CERMETS; OUVRAGES EN CES MATIÈRES: Béryllium, chrome, hafnium (celtium), rhénium, thallium, cadmium, germanium, vanadium, gallium, indium et niobium (columbium), ainsi que les ouvrages en ces métaux, y compris les déchets et débris: autres: sous forme brute; déchets et débris; poudres: Niobium (columbium), gallium, indium, vanadium, germanium: autres: Germanium</t>
  </si>
  <si>
    <t>CHAPITRE 81 - AUTRES MÉTAUX COMMUNS; CERMETS; OUVRAGES EN CES MATIÈRES: Béryllium, chrome, germanium, vanadium, gallium, hafnium (celtium), indium, niobium (columbium), rhénium et thallium, ainsi que les ouvrages en ces métaux, y compris les déchets et débris: autres: sous forme brute; déchets et débris; poudres: Niobium (columbium), rhénium, gallium, indium, vanadium, germanium: autres: Germanium</t>
  </si>
  <si>
    <t>Gallium, indium, vanadium</t>
  </si>
  <si>
    <t>CHAPITRE 81 - AUTRES MÉTAUX COMMUNS; CERMETS; OUVRAGES EN CES MATIÈRES: Béryllium, chrome, hafnium (celtium), rhénium, thallium, cadmium, germanium, vanadium, gallium, indium et niobium (columbium), ainsi que les ouvrages en ces métaux, y compris les déchets et débris: autres: autres: Gallium, indium, vanadium</t>
  </si>
  <si>
    <t>CHAPITRE 81 - AUTRES MÉTAUX COMMUNS; CERMETS; OUVRAGES EN CES MATIÈRES: Béryllium, chrome, germanium, vanadium, gallium, hafnium (celtium), indium, niobium (columbium), rhénium et thallium, ainsi que les ouvrages en ces métaux, y compris les déchets et débris: autres: autres: Gallium, indium, vanadium</t>
  </si>
  <si>
    <t>des types utilisées pour la fabrication de semi-conducteurs ou des types utilisées exclusivement ou principalement pour la fabrication de dispositifs d'affichage à écran plat</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</si>
  <si>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Pompes à vide: des types utilisées pour la fabrication de semi-conducteurs ou des types utilisées exclusivement ou principalement pour la fabrication de dispositifs d'affichage à écran plat</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</si>
  <si>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Pompes à vide: des types utilisées pour la fabrication de semi-conducteurs ou des types utilisées exclusivement ou principalement pour la fabrication de dispositifs d'affichage à écran plat</t>
  </si>
  <si>
    <t>Pompes à piston tournant, pompes à palettes, pompes moléculaires et pompes Roots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</si>
  <si>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Pompes à vide: autres: Pompes à piston tournant, pompes à palettes, pompes moléculaires et pompes Roots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</si>
  <si>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Pompes à vide: autres: Pompes à piston tournant, pompes à palettes, pompes moléculaires et pompes Roots</t>
  </si>
  <si>
    <t>Pompes à diffusion, pompes cryostatiques et pompes à adsorption</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</si>
  <si>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Pompes à vide: autres: autres: Pompes à diffusion, pompes cryostatiques et pompes à adsorption</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</si>
  <si>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Pompes à vide: autres: autres: Pompes à diffusion, pompes cryostatiques et pompes à adsorption</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</si>
  <si>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Pompes à vide: autres: autres: autres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</si>
  <si>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Pompes à vide: autres: autres: autres</t>
  </si>
  <si>
    <t>Pompes à main pour cycles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</si>
  <si>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Pompes à air, à main ou à pied: Pompes à main pour cycles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</si>
  <si>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Pompes à air, à main ou à pied: Pompes à main pour cycles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</si>
  <si>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Pompes à air, à main ou à pied: autres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</si>
  <si>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Pompes à air, à main ou à pied: autres</t>
  </si>
  <si>
    <t>d'une puissance n'excédant pas 0,4 kW</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</si>
  <si>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Compresseurs des types utilisés dans les équipements frigorifiques: d'une puissance n'excédant pas 0,4 kW</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</si>
  <si>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Compresseurs des types utilisés dans les équipements frigorifiques: d'une puissance n'excédant pas 0,4 kW</t>
  </si>
  <si>
    <t>hermétiques ou semi-hermétiques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</si>
  <si>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Compresseurs des types utilisés dans les équipements frigorifiques: d'une puissance excédant 0,4 kW: hermétiques ou semi-hermétiques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</si>
  <si>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Compresseurs des types utilisés dans les équipements frigorifiques: d'une puissance excédant 0,4 kW: hermétiques ou semi-hermétiques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</si>
  <si>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Compresseurs des types utilisés dans les équipements frigorifiques: d'une puissance excédant 0,4 kW: autres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</si>
  <si>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Compresseurs des types utilisés dans les équipements frigorifiques: d'une puissance excédant 0,4 kW: autres</t>
  </si>
  <si>
    <t>d'un débit par minute n'excédant pas 2 m³</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</si>
  <si>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Compresseurs d'air montés sur châssis à roues et remorquables: d'un débit par minute n'excédant pas 2 m³</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</si>
  <si>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Compresseurs d'air montés sur châssis à roues et remorquables: d'un débit par minute n'excédant pas 2 m³</t>
  </si>
  <si>
    <t>d'un débit par minute excédant 2 m³</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</si>
  <si>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Compresseurs d'air montés sur châssis à roues et remorquables: d'un débit par minute excédant 2 m³</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</si>
  <si>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Compresseurs d'air montés sur châssis à roues et remorquables: d'un débit par minute excédant 2 m³</t>
  </si>
  <si>
    <t>Ventilateurs de table, de sol, muraux, plafonniers, de toitures ou de fenêtres, à moteur électrique incorporé d'une puissance n'excédant pas 125 W</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</si>
  <si>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Ventilateurs: Ventilateurs de table, de sol, muraux, plafonniers, de toitures ou de fenêtres, à moteur électrique incorporé d'une puissance n'excédant pas 125 W</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</si>
  <si>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Ventilateurs: Ventilateurs de table, de sol, muraux, plafonniers, de toitures ou de fenêtres, à moteur électrique incorporé d'une puissance n'excédant pas 125 W</t>
  </si>
  <si>
    <t>Ventilateurs du type utilisé exclusivement ou principalement pour les microprocesseurs de refroidissement, les appareils de télécommunication, les machines automatiques de traitement de l'information ou leurs unités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</si>
  <si>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Ventilateurs: autres: Ventilateurs du type utilisé exclusivement ou principalement pour les microprocesseurs de refroidissement, les appareils de télécommunication, les machines automatiques de traitement de l'information ou leurs unités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</si>
  <si>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Ventilateurs: autres: Ventilateurs du type utilisé exclusivement ou principalement pour les microprocesseurs de refroidissement, les appareils de télécommunication, les machines automatiques de traitement de l'information ou leurs unités</t>
  </si>
  <si>
    <t>ventilateurs axiaux</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</si>
  <si>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Ventilateurs: autres: autres: ventilateurs axiaux</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</si>
  <si>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Ventilateurs: autres: autres: ventilateurs axiaux</t>
  </si>
  <si>
    <t>ventilateurs centrifuges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</si>
  <si>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Ventilateurs: autres: autres: ventilateurs centrifuges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</si>
  <si>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Ventilateurs: autres: autres: ventilateurs centrifuges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</si>
  <si>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Ventilateurs: autres: autres: autres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</si>
  <si>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Ventilateurs: autres: autres: autres</t>
  </si>
  <si>
    <t>Hottes dont le plus grand côté horizontal n'excède pas 120 cm</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</si>
  <si>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Hottes dont le plus grand côté horizontal n'excède pas 120 cm</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</si>
  <si>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Hottes dont le plus grand côté horizontal n'excède pas 120 cm</t>
  </si>
  <si>
    <t>monocellulaires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</si>
  <si>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autres: Turbocompresseurs: monocellulaires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</si>
  <si>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autres: Turbocompresseurs: monocellulaires</t>
  </si>
  <si>
    <t>multicellulaires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</si>
  <si>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autres: Turbocompresseurs: multicellulaires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</si>
  <si>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autres: Turbocompresseurs: multicellulaires</t>
  </si>
  <si>
    <t>n'excédant pas 60 m³</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</si>
  <si>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autres: Compresseurs volumétriques alternatifs, pouvant fournir une surpression: n'excédant pas 15 bar, d'un débit par heure: n'excédant pas 60 m³</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</si>
  <si>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autres: Compresseurs volumétriques alternatifs, pouvant fournir une surpression: n'excédant pas 15 bar, d'un débit par heure: n'excédant pas 60 m³</t>
  </si>
  <si>
    <t>excédant 60 m³</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</si>
  <si>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autres: Compresseurs volumétriques alternatifs, pouvant fournir une surpression: n'excédant pas 15 bar, d'un débit par heure: excédant 60 m³</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</si>
  <si>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autres: Compresseurs volumétriques alternatifs, pouvant fournir une surpression: n'excédant pas 15 bar, d'un débit par heure: excédant 60 m³</t>
  </si>
  <si>
    <t>n'excédant pas 120 m³</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</si>
  <si>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autres: Compresseurs volumétriques alternatifs, pouvant fournir une surpression: excédant 15 bar, d'un débit par heure: n'excédant pas 120 m³</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</si>
  <si>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autres: Compresseurs volumétriques alternatifs, pouvant fournir une surpression: excédant 15 bar, d'un débit par heure: n'excédant pas 120 m³</t>
  </si>
  <si>
    <t>excédant 120 m³</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</si>
  <si>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autres: Compresseurs volumétriques alternatifs, pouvant fournir une surpression: excédant 15 bar, d'un débit par heure: excédant 120 m³</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</si>
  <si>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autres: Compresseurs volumétriques alternatifs, pouvant fournir une surpression: excédant 15 bar, d'un débit par heure: excédant 120 m³</t>
  </si>
  <si>
    <t>à un seul arbre</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</si>
  <si>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autres: Compresseurs volumétriques rotatifs: à un seul arbre</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</si>
  <si>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autres: Compresseurs volumétriques rotatifs: à un seul arbre</t>
  </si>
  <si>
    <t>à vis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</si>
  <si>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autres: Compresseurs volumétriques rotatifs: à plusieurs arbres: à vis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</si>
  <si>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autres: Compresseurs volumétriques rotatifs: à plusieurs arbres: à vis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</si>
  <si>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autres: Compresseurs volumétriques rotatifs: à plusieurs arbres: autres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</si>
  <si>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autres: Compresseurs volumétriques rotatifs: à plusieurs arbres: autres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</si>
  <si>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autres: autres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</si>
  <si>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autres: autres</t>
  </si>
  <si>
    <t>Parties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</si>
  <si>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enceintes de sécurité biologique étanches aux gaz, même filtrantes: Parties</t>
  </si>
  <si>
    <t>CHAPITRE 84 - RÉACTEURS NUCLÉAIRES, CHAUDIÈRES, MACHINES, APPAREILS ET ENGINS MÉCANIQUES; PARTIES DE CES MACHINES OU APPAREILS: Pompes à air ou à vide, compresseurs d'air ou d'autres gaz et ventilateurs; hottes aspirantes à extraction ou à recyclage, à ventilateur incorporé, même filtrantes: Parties</t>
  </si>
  <si>
    <t>d'une capacité excédant 340 l</t>
  </si>
  <si>
    <t>CHAPITRE 84 - RÉACTEURS NUCLÉAIRES, CHAUDIÈRES, MACHINES, APPAREILS ET ENGINS MÉCANIQUES; PARTIES DE CES MACHINES OU APPAREILS: Réfrigérateurs, congélateurs-conservateurs et autres matériel, machines et appareils pour la production du froid, à équipement électrique ou autre; pompes à chaleur autres que les machines et appareils pour le conditionnement de l'air du no 8415: Combinaison de réfrigérateurs et de congélateurs-conservateurs munis de portes ou de tiroirs extérieurs séparés, ou d'une combinaison de ces éléments: d'une capacité excédant 340 l</t>
  </si>
  <si>
    <t>CHAPITRE 84 - RÉACTEURS NUCLÉAIRES, CHAUDIÈRES, MACHINES, APPAREILS ET ENGINS MÉCANIQUES; PARTIES DE CES MACHINES OU APPAREILS: Réfrigérateurs, congélateurs-conservateurs et autres matériel, machines et appareils pour la production du froid, à équipement électrique ou autre; pompes à chaleur autres que les machines et appareils pour le conditionnement de l'air du no 8415: Combinaisons de réfrigérateurs et de congélateurs-conservateurs munis de portes extérieures séparées: d'une capacité excédant 340 l</t>
  </si>
  <si>
    <t>CHAPITRE 84 - RÉACTEURS NUCLÉAIRES, CHAUDIÈRES, MACHINES, APPAREILS ET ENGINS MÉCANIQUES; PARTIES DE CES MACHINES OU APPAREILS: Réfrigérateurs, congélateurs-conservateurs et autres matériel, machines et appareils pour la production du froid, à équipement électrique ou autre; pompes à chaleur autres que les machines et appareils pour le conditionnement de l'air du no 8415: Combinaison de réfrigérateurs et de congélateurs-conservateurs munis de portes ou de tiroirs extérieurs séparés, ou d'une combinaison de ces éléments: autres</t>
  </si>
  <si>
    <t>CHAPITRE 84 - RÉACTEURS NUCLÉAIRES, CHAUDIÈRES, MACHINES, APPAREILS ET ENGINS MÉCANIQUES; PARTIES DE CES MACHINES OU APPAREILS: Réfrigérateurs, congélateurs-conservateurs et autres matériel, machines et appareils pour la production du froid, à équipement électrique ou autre; pompes à chaleur autres que les machines et appareils pour le conditionnement de l'air du no 8415: Combinaisons de réfrigérateurs et de congélateurs-conservateurs munis de portes extérieures séparées: autres</t>
  </si>
  <si>
    <t>pour la boulangerie, la pâtisserie ou la biscuiterie</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</si>
  <si>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ou d’origine microbienne fixes ou animales: Machines et appareils pour la boulangerie, la pâtisserie, la biscuiterie ou pour la fabrication des pâtes alimentaires: pour la boulangerie, la pâtisserie ou la biscuiterie</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</si>
  <si>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fixes ou animales: Machines et appareils pour la boulangerie, la pâtisserie, la biscuiterie ou pour la fabrication des pâtes alimentaires: pour la boulangerie, la pâtisserie ou la biscuiterie</t>
  </si>
  <si>
    <t>pour la fabrication des pâtes alimentaires</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</si>
  <si>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ou d’origine microbienne fixes ou animales: Machines et appareils pour la boulangerie, la pâtisserie, la biscuiterie ou pour la fabrication des pâtes alimentaires: pour la fabrication des pâtes alimentaires</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</si>
  <si>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fixes ou animales: Machines et appareils pour la boulangerie, la pâtisserie, la biscuiterie ou pour la fabrication des pâtes alimentaires: pour la fabrication des pâtes alimentaires</t>
  </si>
  <si>
    <t>Machines et appareils pour la confiserie ou pour la fabrication du cacao ou du chocolat</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</si>
  <si>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ou d’origine microbienne fixes ou animales: Machines et appareils pour la confiserie ou pour la fabrication du cacao ou du chocolat</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</si>
  <si>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fixes ou animales: Machines et appareils pour la confiserie ou pour la fabrication du cacao ou du chocolat</t>
  </si>
  <si>
    <t>Machines et appareils pour la sucrerie</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</si>
  <si>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ou d’origine microbienne fixes ou animales: Machines et appareils pour la sucrerie</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</si>
  <si>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fixes ou animales: Machines et appareils pour la sucrerie</t>
  </si>
  <si>
    <t>Machines et appareils pour la brasserie</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</si>
  <si>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ou d’origine microbienne fixes ou animales: Machines et appareils pour la brasserie</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</si>
  <si>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fixes ou animales: Machines et appareils pour la brasserie</t>
  </si>
  <si>
    <t>Machines et appareils pour le travail des viandes</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</si>
  <si>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ou d’origine microbienne fixes ou animales: Machines et appareils pour le travail des viandes</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</si>
  <si>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fixes ou animales: Machines et appareils pour le travail des viandes</t>
  </si>
  <si>
    <t>Machines et appareils pour la préparation des fruits ou des légumes</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</si>
  <si>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ou d’origine microbienne fixes ou animales: Machines et appareils pour la préparation des fruits ou des légumes</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</si>
  <si>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fixes ou animales: Machines et appareils pour la préparation des fruits ou des légumes</t>
  </si>
  <si>
    <t>pour le traitement et la préparation du café ou du thé</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</si>
  <si>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ou d’origine microbienne fixes ou animales: autres machines et appareils: pour le traitement et la préparation du café ou du thé</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</si>
  <si>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fixes ou animales: autres machines et appareils: pour le traitement et la préparation du café ou du thé</t>
  </si>
  <si>
    <t>pour la préparation ou la fabrication des boissons</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</si>
  <si>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ou d’origine microbienne fixes ou animales: autres machines et appareils: autres: pour la préparation ou la fabrication des boissons</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</si>
  <si>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fixes ou animales: autres machines et appareils: autres: pour la préparation ou la fabrication des boissons</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</si>
  <si>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ou d’origine microbienne fixes ou animales: autres machines et appareils: autres: autres</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</si>
  <si>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fixes ou animales: autres machines et appareils: autres: autres</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</si>
  <si>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ou d’origine microbienne fixes ou animales: Parties</t>
  </si>
  <si>
    <t>CHAPITRE 84 - RÉACTEURS NUCLÉAIRES, CHAUDIÈRES, MACHINES, APPAREILS ET ENGINS MÉCANIQUES; PARTIES DE CES MACHINES OU APPAREILS: Machines et appareils, non dénommés ni compris ailleurs dans le présent chapitre, pour la préparation ou la fabrication industrielles d'aliments ou de boissons, autres que les machines et appareils pour l'extraction ou la préparation des huiles ou graisses végétales fixes ou animales: Parties</t>
  </si>
  <si>
    <t>à commande numérique</t>
  </si>
  <si>
    <t>pour le travail des produits plats</t>
  </si>
  <si>
    <t>CHAPITRE 84 - RÉACTEURS NUCLÉAIRES, CHAUDIÈRES, MACHINES, APPAREILS ET ENGINS MÉCANIQUES; PARTIES DE CES MACHINES OU APPAREILS: Machines (y compris les presses) à forger ou à estamper, moutons, marteaux-pilons et martinets pour le travail des métaux (à l’exclusion des laminoirs); machines (y compris les presses, les lignes de refendage et les lignes de découpe à longueur) à rouler, cintrer, plier, dresser, planer, cisailler, poinçonner, gruger ou à grignoter les métaux (à l’exclusion des bancs à étirer); presses pour le travail des métaux ou des carbures métalliques, autres que celles visées ci-dessus: Machines (y compris les presses plieuses) a rouler, cintrer, plier, dresser ou planer, pour produits plats: autres: à commande numérique</t>
  </si>
  <si>
    <t>CHAPITRE 84 - RÉACTEURS NUCLÉAIRES, CHAUDIÈRES, MACHINES, APPAREILS ET ENGINS MÉCANIQUES; PARTIES DE CES MACHINES OU APPAREILS: Machines (y compris les presses) à forger ou à estamper, moutons, marteaux-pilons et martinets pour le travail des métaux; machines (y compris les presses) à rouler, cintrer, plier, dresser, planer, cisailler, poinçonner ou gruger les métaux; presses pour le travail des métaux ou des carbures métalliques autres que celles visées ci-dessus: Machines (y compris les presses) à rouler, cintrer, plier, dresser ou planer: autres: pour le travail des produits plats</t>
  </si>
  <si>
    <t>Machines et appareils pour l'extraction ou la préparation des huiles ou graisses végétales ou d'origine microbienne fixes ou animales</t>
  </si>
  <si>
    <t>Machines et appareils pour l'extraction ou la préparation des huiles ou graisses végétales fixes ou animales</t>
  </si>
  <si>
    <t>CHAPITRE 84 - RÉACTEURS NUCLÉAIRES, CHAUDIÈRES, MACHINES, APPAREILS ET ENGINS MÉCANIQUES; PARTIES DE CES MACHINES OU APPAREILS: Machines et appareils mécaniques ayant une fonction propre, non dénommés ni compris ailleurs dans le présent chapitre: Machines et appareils pour l'extraction ou la préparation des huiles ou graisses végétales ou d'origine microbienne fixes ou animales</t>
  </si>
  <si>
    <t>CHAPITRE 84 - RÉACTEURS NUCLÉAIRES, CHAUDIÈRES, MACHINES, APPAREILS ET ENGINS MÉCANIQUES; PARTIES DE CES MACHINES OU APPAREILS: Machines et appareils mécaniques ayant une fonction propre, non dénommés ni compris ailleurs dans le présent chapitre: Machines et appareils pour l'extraction ou la préparation des huiles ou graisses végétales fixes ou animales</t>
  </si>
  <si>
    <t>Roulements à aiguilles, y compris les assemblages de cages et de rouleaux à aiguilles</t>
  </si>
  <si>
    <t>Roulements à aiguilles</t>
  </si>
  <si>
    <t>CHAPITRE 84 - RÉACTEURS NUCLÉAIRES, CHAUDIÈRES, MACHINES, APPAREILS ET ENGINS MÉCANIQUES; PARTIES DE CES MACHINES OU APPAREILS: Roulements à billes, à galets, à rouleaux ou à aiguilles: Roulements à aiguilles, y compris les assemblages de cages et de rouleaux à aiguilles</t>
  </si>
  <si>
    <t>CHAPITRE 84 - RÉACTEURS NUCLÉAIRES, CHAUDIÈRES, MACHINES, APPAREILS ET ENGINS MÉCANIQUES; PARTIES DE CES MACHINES OU APPAREILS: Roulements à billes, à galets, à rouleaux ou à aiguilles: Roulements à aiguilles</t>
  </si>
  <si>
    <t>Roulements à rouleaux cylindriques, y compris les assemblages de cages et de rouleaux</t>
  </si>
  <si>
    <t>Roulements à rouleaux cylindriques</t>
  </si>
  <si>
    <t>CHAPITRE 84 - RÉACTEURS NUCLÉAIRES, CHAUDIÈRES, MACHINES, APPAREILS ET ENGINS MÉCANIQUES; PARTIES DE CES MACHINES OU APPAREILS: Roulements à billes, à galets, à rouleaux ou à aiguilles: Roulements à rouleaux cylindriques, y compris les assemblages de cages et de rouleaux</t>
  </si>
  <si>
    <t>CHAPITRE 84 - RÉACTEURS NUCLÉAIRES, CHAUDIÈRES, MACHINES, APPAREILS ET ENGINS MÉCANIQUES; PARTIES DE CES MACHINES OU APPAREILS: Roulements à billes, à galets, à rouleaux ou à aiguilles: Roulements à rouleaux cylindriques</t>
  </si>
  <si>
    <t>Machines et appareils pour la fabrication de lingots ou de plaquettes</t>
  </si>
  <si>
    <t>CHAPITRE 84 - RÉACTEURS NUCLÉAIRES, CHAUDIÈRES, MACHINES, APPAREILS ET ENGINS MÉCANIQUES; PARTIES DE CES MACHINES OU APPAREILS: Machines et appareils utilisés exclusivement ou principalement pour la fabrication des lingots, des plaquettes ou des dispositifs à semi-conducteur, des circuits intégrés électroniques ou des dispositifs d'affichage à écran plat; machines et appareils visés à la note 11 C) du présent chapitre; parties et accessoires: Machines et appareils pour la fabrication de lingots ou de plaquettes</t>
  </si>
  <si>
    <t>CHAPITRE 84 - RÉACTEURS NUCLÉAIRES, CHAUDIÈRES, MACHINES, APPAREILS ET ENGINS MÉCANIQUES; PARTIES DE CES MACHINES OU APPAREILS: Machines et appareils utilisés exclusivement ou principalement pour la fabrication des lingots, des plaquettes ou des dispositifs à semi-conducteur, des circuits intégrés électroniques ou des dispositifs d'affichage à écran plat; machines et appareils visés à la note 9 C) du présent chapitre; parties et accessoires: Machines et appareils pour la fabrication de lingots ou de plaquettes</t>
  </si>
  <si>
    <t>Machines et appareils pour la fabrication de dispositifs à semi-conducteur ou des circuits intégrés électroniques</t>
  </si>
  <si>
    <t>CHAPITRE 84 - RÉACTEURS NUCLÉAIRES, CHAUDIÈRES, MACHINES, APPAREILS ET ENGINS MÉCANIQUES; PARTIES DE CES MACHINES OU APPAREILS: Machines et appareils utilisés exclusivement ou principalement pour la fabrication des lingots, des plaquettes ou des dispositifs à semi-conducteur, des circuits intégrés électroniques ou des dispositifs d'affichage à écran plat; machines et appareils visés à la note 11 C) du présent chapitre; parties et accessoires: Machines et appareils pour la fabrication de dispositifs à semi-conducteur ou des circuits intégrés électroniques</t>
  </si>
  <si>
    <t>CHAPITRE 84 - RÉACTEURS NUCLÉAIRES, CHAUDIÈRES, MACHINES, APPAREILS ET ENGINS MÉCANIQUES; PARTIES DE CES MACHINES OU APPAREILS: Machines et appareils utilisés exclusivement ou principalement pour la fabrication des lingots, des plaquettes ou des dispositifs à semi-conducteur, des circuits intégrés électroniques ou des dispositifs d'affichage à écran plat; machines et appareils visés à la note 9 C) du présent chapitre; parties et accessoires: Machines et appareils pour la fabrication de dispositifs à semi-conducteur ou des circuits intégrés électroniques</t>
  </si>
  <si>
    <t>Machines et appareils pour la fabrication de dispositifs d'affichage à écran plat</t>
  </si>
  <si>
    <t>CHAPITRE 84 - RÉACTEURS NUCLÉAIRES, CHAUDIÈRES, MACHINES, APPAREILS ET ENGINS MÉCANIQUES; PARTIES DE CES MACHINES OU APPAREILS: Machines et appareils utilisés exclusivement ou principalement pour la fabrication des lingots, des plaquettes ou des dispositifs à semi-conducteur, des circuits intégrés électroniques ou des dispositifs d'affichage à écran plat; machines et appareils visés à la note 11 C) du présent chapitre; parties et accessoires: Machines et appareils pour la fabrication de dispositifs d'affichage à écran plat</t>
  </si>
  <si>
    <t>CHAPITRE 84 - RÉACTEURS NUCLÉAIRES, CHAUDIÈRES, MACHINES, APPAREILS ET ENGINS MÉCANIQUES; PARTIES DE CES MACHINES OU APPAREILS: Machines et appareils utilisés exclusivement ou principalement pour la fabrication des lingots, des plaquettes ou des dispositifs à semi-conducteur, des circuits intégrés électroniques ou des dispositifs d'affichage à écran plat; machines et appareils visés à la note 9 C) du présent chapitre; parties et accessoires: Machines et appareils pour la fabrication de dispositifs d'affichage à écran plat</t>
  </si>
  <si>
    <t>Machines et appareils visés à la note 11 C) du présent chapitre</t>
  </si>
  <si>
    <t>Machines et appareils visés à la note 9 C) du présent chapitre</t>
  </si>
  <si>
    <t>CHAPITRE 84 - RÉACTEURS NUCLÉAIRES, CHAUDIÈRES, MACHINES, APPAREILS ET ENGINS MÉCANIQUES; PARTIES DE CES MACHINES OU APPAREILS: Machines et appareils utilisés exclusivement ou principalement pour la fabrication des lingots, des plaquettes ou des dispositifs à semi-conducteur, des circuits intégrés électroniques ou des dispositifs d'affichage à écran plat; machines et appareils visés à la note 11 C) du présent chapitre; parties et accessoires: Machines et appareils visés à la note 11 C) du présent chapitre</t>
  </si>
  <si>
    <t>CHAPITRE 84 - RÉACTEURS NUCLÉAIRES, CHAUDIÈRES, MACHINES, APPAREILS ET ENGINS MÉCANIQUES; PARTIES DE CES MACHINES OU APPAREILS: Machines et appareils utilisés exclusivement ou principalement pour la fabrication des lingots, des plaquettes ou des dispositifs à semi-conducteur, des circuits intégrés électroniques ou des dispositifs d'affichage à écran plat; machines et appareils visés à la note 9 C) du présent chapitre; parties et accessoires: Machines et appareils visés à la note 9 C) du présent chapitre</t>
  </si>
  <si>
    <t>Parties et accessoires</t>
  </si>
  <si>
    <t>CHAPITRE 84 - RÉACTEURS NUCLÉAIRES, CHAUDIÈRES, MACHINES, APPAREILS ET ENGINS MÉCANIQUES; PARTIES DE CES MACHINES OU APPAREILS: Machines et appareils utilisés exclusivement ou principalement pour la fabrication des lingots, des plaquettes ou des dispositifs à semi-conducteur, des circuits intégrés électroniques ou des dispositifs d'affichage à écran plat; machines et appareils visés à la note 11 C) du présent chapitre; parties et accessoires: Parties et accessoires</t>
  </si>
  <si>
    <t>CHAPITRE 84 - RÉACTEURS NUCLÉAIRES, CHAUDIÈRES, MACHINES, APPAREILS ET ENGINS MÉCANIQUES; PARTIES DE CES MACHINES OU APPAREILS: Machines et appareils utilisés exclusivement ou principalement pour la fabrication des lingots, des plaquettes ou des dispositifs à semi-conducteur, des circuits intégrés électroniques ou des dispositifs d'affichage à écran plat; machines et appareils visés à la note 9 C) du présent chapitre; parties et accessoires: Parties et accessoires</t>
  </si>
  <si>
    <t>d'une puissance n'excédant pas 750 W</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</si>
  <si>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Autres moteurs à courant continu; machines génératrices à courant continu, autres que les machines génératrices photovoltaïques: d'une puissance n'excédant pas 750 W</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</si>
  <si>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autres moteurs à courant continu; machines génératrices à courant continu: d'une puissance n'excédant pas 750 W</t>
  </si>
  <si>
    <t>d'une puissance excédant 750 W mais n'excédant pas 75 kW</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</si>
  <si>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Autres moteurs à courant continu; machines génératrices à courant continu, autres que les machines génératrices photovoltaïques: d'une puissance excédant 750 W mais n'excédant pas 75 kW</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</si>
  <si>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autres moteurs à courant continu; machines génératrices à courant continu: d'une puissance excédant 750 W mais n'excédant pas 75 kW</t>
  </si>
  <si>
    <t>d'une puissance excédant 75 kW mais n'excédant pas 375 kW</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</si>
  <si>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Autres moteurs à courant continu; machines génératrices à courant continu, autres que les machines génératrices photovoltaïques: d'une puissance excédant 75 kW mais n'excédant pas 375 kW</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</si>
  <si>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autres moteurs à courant continu; machines génératrices à courant continu: d'une puissance excédant 75 kW mais n'excédant pas 375 kW</t>
  </si>
  <si>
    <t>d'une puissance excédant 375 kW</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</si>
  <si>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Autres moteurs à courant continu; machines génératrices à courant continu, autres que les machines génératrices photovoltaïques: d'une puissance excédant 375 kW</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</si>
  <si>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autres moteurs à courant continu; machines génératrices à courant continu: d'une puissance excédant 375 kW</t>
  </si>
  <si>
    <t>d'une puissance n'excédant pas 7,5 kVA</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</si>
  <si>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Machines génératrices à courant alternatif (alternateurs), autres que les machines génératrices photovoltaïques: d'une puissance n'excédant pas 75 kVA: d'une puissance n'excédant pas 7,5 kVA</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</si>
  <si>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Machines génératrices à courant alternatif (alternateurs): d'une puissance n'excédant pas 75 kVA: d'une puissance n'excédant pas 7,5 kVA</t>
  </si>
  <si>
    <t>d'une puissance excédant 7,5 kVA mais n'excédant pas 75 kVA</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</si>
  <si>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Machines génératrices à courant alternatif (alternateurs), autres que les machines génératrices photovoltaïques: d'une puissance n'excédant pas 75 kVA: d'une puissance excédant 7,5 kVA mais n'excédant pas 75 kVA</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</si>
  <si>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Machines génératrices à courant alternatif (alternateurs): d'une puissance n'excédant pas 75 kVA: d'une puissance excédant 7,5 kVA mais n'excédant pas 75 kVA</t>
  </si>
  <si>
    <t>d'une puissance excédant 75 kVA mais n'excédant pas 375 kVA</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</si>
  <si>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Machines génératrices à courant alternatif (alternateurs), autres que les machines génératrices photovoltaïques: d'une puissance excédant 75 kVA mais n'excédant pas 375 kVA</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</si>
  <si>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Machines génératrices à courant alternatif (alternateurs): d'une puissance excédant 75 kVA mais n'excédant pas 375 kVA</t>
  </si>
  <si>
    <t>d'une puissance excédant 375 kVA mais n'excédant pas 750 kVA</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</si>
  <si>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Machines génératrices à courant alternatif (alternateurs), autres que les machines génératrices photovoltaïques: d'une puissance excédant 375 kVA mais n'excédant pas 750 kVA</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</si>
  <si>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Machines génératrices à courant alternatif (alternateurs): d'une puissance excédant 375 kVA mais n'excédant pas 750 kVA</t>
  </si>
  <si>
    <t>d'une puissance excédant 750 kVA</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</si>
  <si>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Machines génératrices à courant alternatif (alternateurs), autres que les machines génératrices photovoltaïques: d'une puissance excédant 750 kVA</t>
  </si>
  <si>
    <t>CHAPITRE 85 - MACHINES, APPAREILS ET MATÉRIELS ÉLECTRIQUES ET LEURS PARTIES; APPAREILS D'ENREGISTREMENT OU DE REPRODUCTION DU SON, APPAREILS D'ENREGISTREMENT OU DE REPRODUCTION DES IMAGES ET DU SON EN TÉLÉVISION, ET PARTIES ET ACCESSOIRES DE CES APPAREILS: Moteurs et machines génératrices, électriques, à l'exclusion des groupes électrogènes: Machines génératrices à courant alternatif (alternateurs): d'une puissance excédant 750 kVA</t>
  </si>
  <si>
    <t>Lampes</t>
  </si>
  <si>
    <t>CHAPITRE 85 - MACHINES, APPAREILS ET MATÉRIELS ÉLECTRIQUES ET LEURS PARTIES; APPAREILS D'ENREGISTREMENT OU DE REPRODUCTION DU SON, APPAREILS D'ENREGISTREMENT OU DE REPRODUCTION DES IMAGES ET DU SON EN TÉLÉVISION, ET PARTIES ET ACCESSOIRES DE CES APPAREILS: Lampes électriques portatives, conçues pour fonctionner au moyen de leur propre source d'énergie (à piles, à accumulateurs, électromagnétiques, par exemple), autres que les appareils d'éclairage du no 8512: Lampes</t>
  </si>
  <si>
    <t>CHAPITRE 85 - MACHINES, APPAREILS ET MATÉRIELS ÉLECTRIQUES ET LEURS PARTIES; APPAREILS D'ENREGISTREMENT OU DE REPRODUCTION DU SON, APPAREILS D'ENREGISTREMENT OU DE REPRODUCTION DES IMAGES ET DU SON EN TÉLÉVISION, ET PARTIES ET ACCESSOIRES DE CES APPAREILS: Lampes électriques portatives, destinées à fonctionner au moyen de leur propre source d'énergie (à piles, à accumulateurs, électromagnétiques, par exemple), autres que les appareils d'éclairage du no 8512: Lampes</t>
  </si>
  <si>
    <t>CHAPITRE 85 - MACHINES, APPAREILS ET MATÉRIELS ÉLECTRIQUES ET LEURS PARTIES; APPAREILS D'ENREGISTREMENT OU DE REPRODUCTION DU SON, APPAREILS D'ENREGISTREMENT OU DE REPRODUCTION DES IMAGES ET DU SON EN TÉLÉVISION, ET PARTIES ET ACCESSOIRES DE CES APPAREILS: Lampes électriques portatives, conçues pour fonctionner au moyen de leur propre source d'énergie (à piles, à accumulateurs, électromagnétiques, par exemple), autres que les appareils d'éclairage du no 8512: Parties</t>
  </si>
  <si>
    <t>CHAPITRE 85 - MACHINES, APPAREILS ET MATÉRIELS ÉLECTRIQUES ET LEURS PARTIES; APPAREILS D'ENREGISTREMENT OU DE REPRODUCTION DU SON, APPAREILS D'ENREGISTREMENT OU DE REPRODUCTION DES IMAGES ET DU SON EN TÉLÉVISION, ET PARTIES ET ACCESSOIRES DE CES APPAREILS: Lampes électriques portatives, destinées à fonctionner au moyen de leur propre source d'énergie (à piles, à accumulateurs, électromagnétiques, par exemple), autres que les appareils d'éclairage du no 8512: Parties</t>
  </si>
  <si>
    <t>d'autres fours des sous-positions 85143110, 85143210 ou 85143910</t>
  </si>
  <si>
    <t>d'autres fours de la sous-position 85143020</t>
  </si>
  <si>
    <t>CHAPITRE 85 - MACHINES, APPAREILS ET MATÉRIELS ÉLECTRIQUES ET LEURS PARTIES; APPAREILS D'ENREGISTREMENT OU DE REPRODUCTION DU SON, APPAREILS D'ENREGISTREMENT OU DE REPRODUCTION DES IMAGES ET DU SON EN TÉLÉVISION, ET PARTIES ET ACCESSOIRES DE CES APPAREILS: Fours électriques industriels ou de laboratoires, y compris ceux fonctionnant par induction ou par pertes diélectriques; autres appareils industriels ou de laboratoires pour le traitement thermique des matières par induction ou par pertes diélectriques: Parties: d'autres fours des sous-positions 85143110, 85143210 ou 85143910</t>
  </si>
  <si>
    <t>CHAPITRE 85 - MACHINES, APPAREILS ET MATÉRIELS ÉLECTRIQUES ET LEURS PARTIES; APPAREILS D'ENREGISTREMENT OU DE REPRODUCTION DU SON, APPAREILS D'ENREGISTREMENT OU DE REPRODUCTION DES IMAGES ET DU SON EN TÉLÉVISION, ET PARTIES ET ACCESSOIRES DE CES APPAREILS: Fours électriques industriels ou de laboratoires, y compris ceux fonctionnant par induction ou par pertes diélectriques; autres appareils industriels ou de laboratoires pour le traitement thermique des matières par induction ou par pertes diélectriques: Parties: d'autres fours de la sous-position 85143020</t>
  </si>
  <si>
    <t>Postes téléphoniques d'usagers par fil à combinés sans fil</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</si>
  <si>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intelligents et autres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Postes téléphoniques d’usagers, y compris les téléphones intelligents et autres téléphones pour réseaux cellulaires et pour autres réseaux sans fil: Postes téléphoniques d'usagers par fil à combinés sans fil</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</si>
  <si>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Postes téléphoniques d’usagers, y compris les téléphones pour réseaux cellulaires et pour autres réseaux sans fil: Postes téléphoniques d'usagers par fil à combinés sans fil</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</si>
  <si>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intelligents et autres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Postes téléphoniques d’usagers, y compris les téléphones intelligents et autres téléphones pour réseaux cellulaires et pour autres réseaux sans fil: autres</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</si>
  <si>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Postes téléphoniques d’usagers, y compris les téléphones pour réseaux cellulaires et pour autres réseaux sans fil: autres</t>
  </si>
  <si>
    <t>Stations de base</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</si>
  <si>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intelligents et autres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autres appareils pour l'émission, la transmission ou la réception de la voix, d’images ou d'autres données, y compris les appareils pour la communication dans un réseau filaire ou sans fil (tel qu'un réseau local ou étendu): Stations de base</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</si>
  <si>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autres appareils pour l'émission, la transmission ou la réception de la voix, d’images ou d'autres données, y compris les appareils pour la communication dans un réseau filaire ou sans fil (tel qu'un réseau local ou étendu): Stations de base</t>
  </si>
  <si>
    <t>Appareils pour la réception, la conversion et l'émission, la transmission ou la régénération de la voix, d’images ou d'autres données, y compris les appareils de commutation et de routage</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</si>
  <si>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intelligents et autres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autres appareils pour l'émission, la transmission ou la réception de la voix, d’images ou d'autres données, y compris les appareils pour la communication dans un réseau filaire ou sans fil (tel qu'un réseau local ou étendu): Appareils pour la réception, la conversion et l'émission, la transmission ou la régénération de la voix, d’images ou d'autres données, y compris les appareils de commutation et de routage</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</si>
  <si>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autres appareils pour l'émission, la transmission ou la réception de la voix, d’images ou d'autres données, y compris les appareils pour la communication dans un réseau filaire ou sans fil (tel qu'un réseau local ou étendu): Appareils pour la réception, la conversion et l'émission, la transmission ou la régénération de la voix, d’images ou d'autres données, y compris les appareils de commutation et de routage</t>
  </si>
  <si>
    <t>Visiophones</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</si>
  <si>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intelligents et autres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autres appareils pour l'émission, la transmission ou la réception de la voix, d’images ou d'autres données, y compris les appareils pour la communication dans un réseau filaire ou sans fil (tel qu'un réseau local ou étendu): autres: Visiophones</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</si>
  <si>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autres appareils pour l'émission, la transmission ou la réception de la voix, d’images ou d'autres données, y compris les appareils pour la communication dans un réseau filaire ou sans fil (tel qu'un réseau local ou étendu): autres: Visiophones</t>
  </si>
  <si>
    <t>Interphones</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</si>
  <si>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intelligents et autres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autres appareils pour l'émission, la transmission ou la réception de la voix, d’images ou d'autres données, y compris les appareils pour la communication dans un réseau filaire ou sans fil (tel qu'un réseau local ou étendu): autres: Interphones</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</si>
  <si>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autres appareils pour l'émission, la transmission ou la réception de la voix, d’images ou d'autres données, y compris les appareils pour la communication dans un réseau filaire ou sans fil (tel qu'un réseau local ou étendu): autres: Interphones</t>
  </si>
  <si>
    <t>Appareils récepteurs pour la radiotéléphonie ou la radiotélégraphie</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</si>
  <si>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intelligents et autres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autres appareils pour l'émission, la transmission ou la réception de la voix, d’images ou d'autres données, y compris les appareils pour la communication dans un réseau filaire ou sans fil (tel qu'un réseau local ou étendu): autres: Appareils récepteurs pour la radiotéléphonie ou la radiotélégraphie</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</si>
  <si>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autres appareils pour l'émission, la transmission ou la réception de la voix, d’images ou d'autres données, y compris les appareils pour la communication dans un réseau filaire ou sans fil (tel qu'un réseau local ou étendu): autres: Appareils récepteurs pour la radiotéléphonie ou la radiotélégraphie</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</si>
  <si>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intelligents et autres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autres appareils pour l'émission, la transmission ou la réception de la voix, d’images ou d'autres données, y compris les appareils pour la communication dans un réseau filaire ou sans fil (tel qu'un réseau local ou étendu): autres: autres</t>
  </si>
  <si>
    <t>CHAPITRE 85 - MACHINES, APPAREILS ET MATÉRIELS ÉLECTRIQUES ET LEURS PARTIES; APPAREILS D'ENREGISTREMENT OU DE REPRODUCTION DU SON, APPAREILS D'ENREGISTREMENT OU DE REPRODUCTION DES IMAGES ET DU SON EN TÉLÉVISION, ET PARTIES ET ACCESSOIRES DE CES APPAREILS: Postes téléphoniques d’usagers, y compris les téléphones pour réseaux cellulaires et pour autres réseaux sans fil; autres appareils pour l'émission, la transmission ou la réception de la voix, d’images ou d'autres données, y compris les appareils pour la communication dans un réseau filaire ou sans fil (tel qu'un réseau local ou étendu), autres que ceux des nos 8443, 8525, 8527 ou 8528: autres appareils pour l'émission, la transmission ou la réception de la voix, d’images ou d'autres données, y compris les appareils pour la communication dans un réseau filaire ou sans fil (tel qu'un réseau local ou étendu): autres: autres</t>
  </si>
  <si>
    <t>Antennes télescopiques et antennes fouets pour appareils portatifs et appareils à installer dans les véhicules automobiles</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</si>
  <si>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8524 à 8528: Antennes et réflecteurs d'antennes de tous types; parties reconnaissables comme étant utilisées conjointement avec ces articles: Antennes: Antennes télescopiques et antennes fouets pour appareils portatifs et appareils à installer dans les véhicules automobiles</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</si>
  <si>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8525 à 8528: Antennes et réflecteurs d'antennes de tous types; parties reconnaissables comme étant utilisées conjointement avec ces articles: Antennes: Antennes télescopiques et antennes fouets pour appareils portatifs et appareils à installer dans les véhicules automobiles</t>
  </si>
  <si>
    <t>Antennes d'extérieur pour récepteurs de radiodiffusion et de télévision</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</si>
  <si>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8524 à 8528: Antennes et réflecteurs d'antennes de tous types; parties reconnaissables comme étant utilisées conjointement avec ces articles: Antennes: Antennes d'extérieur pour récepteurs de radiodiffusion et de télévision</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</si>
  <si>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8525 à 8528: Antennes et réflecteurs d'antennes de tous types; parties reconnaissables comme étant utilisées conjointement avec ces articles: Antennes: Antennes d'extérieur pour récepteurs de radiodiffusion et de télévision</t>
  </si>
  <si>
    <t>Antennes d'intérieur pour récepteurs de radiodiffusion et de télévision, y compris celles à incorporer</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</si>
  <si>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8524 à 8528: Antennes et réflecteurs d'antennes de tous types; parties reconnaissables comme étant utilisées conjointement avec ces articles: Antennes: Antennes d'intérieur pour récepteurs de radiodiffusion et de télévision, y compris celles à incorporer</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</si>
  <si>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8525 à 8528: Antennes et réflecteurs d'antennes de tous types; parties reconnaissables comme étant utilisées conjointement avec ces articles: Antennes: Antennes d'intérieur pour récepteurs de radiodiffusion et de télévision, y compris celles à incorporer</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</si>
  <si>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8524 à 8528: Antennes et réflecteurs d'antennes de tous types; parties reconnaissables comme étant utilisées conjointement avec ces articles: Antennes: autres</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</si>
  <si>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8525 à 8528: Antennes et réflecteurs d'antennes de tous types; parties reconnaissables comme étant utilisées conjointement avec ces articles: Antennes: autres</t>
  </si>
  <si>
    <t>Filtres et séparateurs d'antennes</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</si>
  <si>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8524 à 8528: Antennes et réflecteurs d'antennes de tous types; parties reconnaissables comme étant utilisées conjointement avec ces articles: Filtres et séparateurs d'antennes</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</si>
  <si>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8525 à 8528: Antennes et réflecteurs d'antennes de tous types; parties reconnaissables comme étant utilisées conjointement avec ces articles: Filtres et séparateurs d'antennes</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</si>
  <si>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8524 à 8528: Antennes et réflecteurs d'antennes de tous types; parties reconnaissables comme étant utilisées conjointement avec ces articles: autres</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</si>
  <si>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8525 à 8528: Antennes et réflecteurs d'antennes de tous types; parties reconnaissables comme étant utilisées conjointement avec ces articles: autres</t>
  </si>
  <si>
    <t>Modules de diodes électroluminescentes organiques et panneaux de diodes électroluminescentes organiques destinés aux appareils des nos 852872 ou 852873</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</si>
  <si>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8524 à 8528: autres: Modules de diodes électroluminescentes organiques et panneaux de diodes électroluminescentes organiques destinés aux appareils des nos 852872 ou 852873</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</si>
  <si>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8525 à 8528: autres: Modules de diodes électroluminescentes organiques et panneaux de diodes électroluminescentes organiques destinés aux appareils des nos 852872 ou 852873</t>
  </si>
  <si>
    <t>d'appareils photographiques numériques relevant des sous-positions85258100, 85258200, 85258300 et 85258900; d’appareils des sous-positions 85256000, 85284200, 85285210 et 85286200</t>
  </si>
  <si>
    <t>Parties d'appareils des sous-positions 85256000, 85258030, 85284200, 85285210 et 85286200</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</si>
  <si>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8524 à 8528: autres: autres: d'appareils photographiques numériques relevant des sous-positions85258100, 85258200, 85258300 et 85258900; d’appareils des sous-positions 85256000, 85284200, 85285210 et 85286200</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</si>
  <si>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8525 à 8528: autres: autres: Parties d'appareils des sous-positions 85256000, 85258030, 85284200, 85285210 et 85286200</t>
  </si>
  <si>
    <t>Assemblages électroniques</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</si>
  <si>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8524 à 8528: autres: autres: autres: Assemblages électroniques</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</si>
  <si>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8525 à 8528: autres: autres: autres: Assemblages électroniques</t>
  </si>
  <si>
    <t>Unités de rétroéclairage à diodes émettrices de lumière (DEL): sources lumineuses constituées d’une ou de plusieurs DEL, d’un ou de plusieurs connecteurs et d’autres composants passifs, montées sur un circuit imprimé ou sur un substrat similaire, associées ou non à un composant optique ou à des diodes de protection et conçues pour le rétroéclairage de dispositifs d’affichage à cristaux liquides (LCD)</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</si>
  <si>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8524 à 8528: autres: autres: autres: autres: Unités de rétroéclairage à diodes émettrices de lumière (DEL): sources lumineuses constituées d’une ou de plusieurs DEL, d’un ou de plusieurs connecteurs et d’autres composants passifs, montées sur un circuit imprimé ou sur un substrat similaire, associées ou non à un composant optique ou à des diodes de protection et conçues pour le rétroéclairage de dispositifs d’affichage à cristaux liquides (LCD)</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</si>
  <si>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8525 à 8528: autres: autres: autres: autres: Unités de rétroéclairage à diodes émettrices de lumière (DEL): sources lumineuses constituées d’une ou de plusieurs DEL, d’un ou de plusieurs connecteurs et d’autres composants passifs, montées sur un circuit imprimé ou sur un substrat similaire, associées ou non à un composant optique ou à des diodes de protection et conçues pour le rétroéclairage de dispositifs d’affichage à cristaux liquides (LCD)</t>
  </si>
  <si>
    <t>pour caméras de télévision des sous-positions 852581, 852582, 852583 et 852589 et appareils des nos  8527 et 8528</t>
  </si>
  <si>
    <t>pour caméras de télévision des sous-positions 85258011 et 85258019 et appareils des nos 8527 et 8528</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</si>
  <si>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8524 à 8528: autres: autres: autres: autres: autres: pour caméras de télévision des sous-positions 852581, 852582, 852583 et 852589 et appareils des nos  8527 et 8528</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</si>
  <si>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8525 à 8528: autres: autres: autres: autres: autres: pour caméras de télévision des sous-positions 85258011 et 85258019 et appareils des nos 8527 et 8528</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</si>
  <si>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8524 à 8528: autres: autres: autres: autres: autres: autres</t>
  </si>
  <si>
    <t>CHAPITRE 85 - MACHINES, APPAREILS ET MATÉRIELS ÉLECTRIQUES ET LEURS PARTIES; APPAREILS D'ENREGISTREMENT OU DE REPRODUCTION DU SON, APPAREILS D'ENREGISTREMENT OU DE REPRODUCTION DES IMAGES ET DU SON EN TÉLÉVISION, ET PARTIES ET ACCESSOIRES DE CES APPAREILS: Parties reconnaissables comme étant exclusivement ou principalement destinées aux appareils des nos 8525 à 8528: autres: autres: autres: autres: autres: autres</t>
  </si>
  <si>
    <t>Articles dits « phares et projecteurs scellés »</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</si>
  <si>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Articles dits « phares et projecteurs scellés »</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</si>
  <si>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Articles dits « phares et projecteurs scellés »</t>
  </si>
  <si>
    <t>des types utilisés pour motocycles ou autres véhicules automobiles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</si>
  <si>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autres lampes et tubes à incandescence, à l'exclusion de ceux à rayons ultraviolets ou infrarouges: halogènes, au tungstène: des types utilisés pour motocycles ou autres véhicules automobiles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</si>
  <si>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autres lampes et tubes à incandescence, à l'exclusion de ceux à rayons ultraviolets ou infrarouges: halogènes, au tungstène: des types utilisés pour motocycles ou autres véhicules automobiles</t>
  </si>
  <si>
    <t>excédant 100 V</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</si>
  <si>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autres lampes et tubes à incandescence, à l'exclusion de ceux à rayons ultraviolets ou infrarouges: halogènes, au tungstène: autres, d'une tension: excédant 100 V</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</si>
  <si>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autres lampes et tubes à incandescence, à l'exclusion de ceux à rayons ultraviolets ou infrarouges: halogènes, au tungstène: autres, d'une tension: excédant 100 V</t>
  </si>
  <si>
    <t>n'excédant pas 100 V</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</si>
  <si>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autres lampes et tubes à incandescence, à l'exclusion de ceux à rayons ultraviolets ou infrarouges: halogènes, au tungstène: autres, d'une tension: n'excédant pas 100 V</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</si>
  <si>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autres lampes et tubes à incandescence, à l'exclusion de ceux à rayons ultraviolets ou infrarouges: halogènes, au tungstène: autres, d'une tension: n'excédant pas 100 V</t>
  </si>
  <si>
    <t>à réflecteurs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</si>
  <si>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autres lampes et tubes à incandescence, à l'exclusion de ceux à rayons ultraviolets ou infrarouges: autres, d'une puissance n'excédant pas 200 W et d'une tension excédant 100 V: à réflecteurs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</si>
  <si>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autres lampes et tubes à incandescence, à l'exclusion de ceux à rayons ultraviolets ou infrarouges: autres, d'une puissance n'excédant pas 200 W et d'une tension excédant 100 V: à réflecteurs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</si>
  <si>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autres lampes et tubes à incandescence, à l'exclusion de ceux à rayons ultraviolets ou infrarouges: autres, d'une puissance n'excédant pas 200 W et d'une tension excédant 100 V: autres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</si>
  <si>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autres lampes et tubes à incandescence, à l'exclusion de ceux à rayons ultraviolets ou infrarouges: autres, d'une puissance n'excédant pas 200 W et d'une tension excédant 100 V: autres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</si>
  <si>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autres lampes et tubes à incandescence, à l'exclusion de ceux à rayons ultraviolets ou infrarouges: autres: des types utilisés pour motocycles ou autres véhicules automobiles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</si>
  <si>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autres lampes et tubes à incandescence, à l'exclusion de ceux à rayons ultraviolets ou infrarouges: autres: des types utilisés pour motocycles ou autres véhicules automobiles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</si>
  <si>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autres lampes et tubes à incandescence, à l'exclusion de ceux à rayons ultraviolets ou infrarouges: autres: autres, d'une tension: excédant 100 V</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</si>
  <si>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autres lampes et tubes à incandescence, à l'exclusion de ceux à rayons ultraviolets ou infrarouges: autres: autres, d'une tension: excédant 100 V</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</si>
  <si>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autres lampes et tubes à incandescence, à l'exclusion de ceux à rayons ultraviolets ou infrarouges: autres: autres, d'une tension: n'excédant pas 100 V</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</si>
  <si>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autres lampes et tubes à incandescence, à l'exclusion de ceux à rayons ultraviolets ou infrarouges: autres: autres, d'une tension: n'excédant pas 100 V</t>
  </si>
  <si>
    <t>à deux culots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</si>
  <si>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Lampes et tubes à décharge, autres qu'à rayons ultraviolets: fluorescents, à cathode chaude: à deux culots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</si>
  <si>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Lampes et tubes à décharge, autres qu'à rayons ultraviolets: fluorescents, à cathode chaude: à deux culots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</si>
  <si>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Lampes et tubes à décharge, autres qu'à rayons ultraviolets: fluorescents, à cathode chaude: autres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</si>
  <si>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Lampes et tubes à décharge, autres qu'à rayons ultraviolets: fluorescents, à cathode chaude: autres</t>
  </si>
  <si>
    <t>à vapeur de mercure ou de sodium</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</si>
  <si>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Lampes et tubes à décharge, autres qu'à rayons ultraviolets: Lampes à vapeur de mercure ou de sodium; lampes à halogénure métallique: à vapeur de mercure ou de sodium</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</si>
  <si>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Lampes et tubes à décharge, autres qu'à rayons ultraviolets: Lampes à vapeur de mercure ou de sodium; lampes à halogénure métallique: à vapeur de mercure ou de sodium</t>
  </si>
  <si>
    <t>à halogénure métallique</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</si>
  <si>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Lampes et tubes à décharge, autres qu'à rayons ultraviolets: Lampes à vapeur de mercure ou de sodium; lampes à halogénure métallique: à halogénure métallique</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</si>
  <si>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Lampes et tubes à décharge, autres qu'à rayons ultraviolets: Lampes à vapeur de mercure ou de sodium; lampes à halogénure métallique: à halogénure métallique</t>
  </si>
  <si>
    <t>Lampes fluorescentes à cathode froide (CCFL) pour le rétroéclairage de dispositifs d’affichage à écran plat</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</si>
  <si>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Lampes et tubes à décharge, autres qu'à rayons ultraviolets: autres: Lampes fluorescentes à cathode froide (CCFL) pour le rétroéclairage de dispositifs d’affichage à écran plat</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</si>
  <si>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Lampes et tubes à décharge, autres qu'à rayons ultraviolets: autres: Lampes fluorescentes à cathode froide (CCFL) pour le rétroéclairage de dispositifs d’affichage à écran plat</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</si>
  <si>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Lampes et tubes à décharge, autres qu'à rayons ultraviolets: autres: autres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</si>
  <si>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Lampes et tubes à décharge, autres qu'à rayons ultraviolets: autres: autres</t>
  </si>
  <si>
    <t>Lampes à arc</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</si>
  <si>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Lampes et tubes à rayons ultraviolets ou infrarouges; lampes à arc: Lampes à arc</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</si>
  <si>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Lampes et tubes à rayons ultraviolets ou infrarouges; lampes à arc: Lampes à arc</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</si>
  <si>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Lampes et tubes à rayons ultraviolets ou infrarouges; lampes à arc: autres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</si>
  <si>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Lampes et tubes à rayons ultraviolets ou infrarouges; lampes à arc: autres</t>
  </si>
  <si>
    <t>Culots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</si>
  <si>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Parties: Culots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</si>
  <si>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Parties: Culots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</si>
  <si>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sources lumineuses à diodes émettrices de lumière (LED): Parties: autres</t>
  </si>
  <si>
    <t>CHAPITRE 85 - MACHINES, APPAREILS ET MATÉRIELS ÉLECTRIQUES ET LEURS PARTIES; APPAREILS D'ENREGISTREMENT OU DE REPRODUCTION DU SON, APPAREILS D'ENREGISTREMENT OU DE REPRODUCTION DES IMAGES ET DU SON EN TÉLÉVISION, ET PARTIES ET ACCESSOIRES DE CES APPAREILS: Lampes et tubes électriques à incandescence ou à décharge, y compris les articles dits « phares et projecteurs scellés » et les lampes et tubes à rayons ultraviolets ou infrarouges; lampes à arc; lampes et tubes à diodes émettrices de lumière (LED): Parties: autres</t>
  </si>
  <si>
    <t>Diodes, autres que les photodiodes et les diodes émettrices de lumière (LED)</t>
  </si>
  <si>
    <t>CHAPITRE 85 - MACHINES, APPAREILS ET MATÉRIELS ÉLECTRIQUES ET LEURS PARTIES; APPAREILS D'ENREGISTREMENT OU DE REPRODUCTION DU SON, APPAREILS D'ENREGISTREMENT OU DE REPRODUCTION DES IMAGES ET DU SON EN TÉLÉVISION, ET PARTIES ET ACCESSOIRES DE CES APPAREILS: Dispositifs à semi-conducteur (par exemple, diodes, transistors, transducteurs à semiconducteur); dispositifs photosensibles à semi-conducteur, y compris les cellules photovoltaïques même assemblées en modules ou constituées en panneaux; diodes émettrices de lumière (LED), même assemblées avec d’autres diodes émettrices de lumière (LED); cristaux piézo-électriques montés: Diodes, autres que les photodiodes et les diodes émettrices de lumière (LED)</t>
  </si>
  <si>
    <t>CHAPITRE 85 - MACHINES, APPAREILS ET MATÉRIELS ÉLECTRIQUES ET LEURS PARTIES; APPAREILS D'ENREGISTREMENT OU DE REPRODUCTION DU SON, APPAREILS D'ENREGISTREMENT OU DE REPRODUCTION DES IMAGES ET DU SON EN TÉLÉVISION, ET PARTIES ET ACCESSOIRES DE CES APPAREILS: Diodes, transistors et dispositifs similaires à semi-conducteur; dispositifs photosensibles à semi-conducteur, y compris les cellules photovoltaïques même assemblées en modules ou constituées en panneaux; diodes émettrices de lumière (LED); cristaux piézo-électriques montés: Diodes, autres que les photodiodes et les diodes émettrices de lumière (LED)</t>
  </si>
  <si>
    <t>à pouvoir de dissipation inférieur à 1 W</t>
  </si>
  <si>
    <t>CHAPITRE 85 - MACHINES, APPAREILS ET MATÉRIELS ÉLECTRIQUES ET LEURS PARTIES; APPAREILS D'ENREGISTREMENT OU DE REPRODUCTION DU SON, APPAREILS D'ENREGISTREMENT OU DE REPRODUCTION DES IMAGES ET DU SON EN TÉLÉVISION, ET PARTIES ET ACCESSOIRES DE CES APPAREILS: Dispositifs à semi-conducteur (par exemple, diodes, transistors, transducteurs à semiconducteur); dispositifs photosensibles à semi-conducteur, y compris les cellules photovoltaïques même assemblées en modules ou constituées en panneaux; diodes émettrices de lumière (LED), même assemblées avec d’autres diodes émettrices de lumière (LED); cristaux piézo-électriques montés: Transistors, autres que les phototransistors: à pouvoir de dissipation inférieur à 1 W</t>
  </si>
  <si>
    <t>CHAPITRE 85 - MACHINES, APPAREILS ET MATÉRIELS ÉLECTRIQUES ET LEURS PARTIES; APPAREILS D'ENREGISTREMENT OU DE REPRODUCTION DU SON, APPAREILS D'ENREGISTREMENT OU DE REPRODUCTION DES IMAGES ET DU SON EN TÉLÉVISION, ET PARTIES ET ACCESSOIRES DE CES APPAREILS: Diodes, transistors et dispositifs similaires à semi-conducteur; dispositifs photosensibles à semi-conducteur, y compris les cellules photovoltaïques même assemblées en modules ou constituées en panneaux; diodes émettrices de lumière (LED); cristaux piézo-électriques montés: Transistors, autres que les phototransistors: à pouvoir de dissipation inférieur à 1 W</t>
  </si>
  <si>
    <t>CHAPITRE 85 - MACHINES, APPAREILS ET MATÉRIELS ÉLECTRIQUES ET LEURS PARTIES; APPAREILS D'ENREGISTREMENT OU DE REPRODUCTION DU SON, APPAREILS D'ENREGISTREMENT OU DE REPRODUCTION DES IMAGES ET DU SON EN TÉLÉVISION, ET PARTIES ET ACCESSOIRES DE CES APPAREILS: Dispositifs à semi-conducteur (par exemple, diodes, transistors, transducteurs à semiconducteur); dispositifs photosensibles à semi-conducteur, y compris les cellules photovoltaïques même assemblées en modules ou constituées en panneaux; diodes émettrices de lumière (LED), même assemblées avec d’autres diodes émettrices de lumière (LED); cristaux piézo-électriques montés: Transistors, autres que les phototransistors: autres</t>
  </si>
  <si>
    <t>CHAPITRE 85 - MACHINES, APPAREILS ET MATÉRIELS ÉLECTRIQUES ET LEURS PARTIES; APPAREILS D'ENREGISTREMENT OU DE REPRODUCTION DU SON, APPAREILS D'ENREGISTREMENT OU DE REPRODUCTION DES IMAGES ET DU SON EN TÉLÉVISION, ET PARTIES ET ACCESSOIRES DE CES APPAREILS: Diodes, transistors et dispositifs similaires à semi-conducteur; dispositifs photosensibles à semi-conducteur, y compris les cellules photovoltaïques même assemblées en modules ou constituées en panneaux; diodes émettrices de lumière (LED); cristaux piézo-électriques montés: Transistors, autres que les phototransistors: autres</t>
  </si>
  <si>
    <t>Thyristors, diacs et triacs, autres que les dispositifs photosensibles</t>
  </si>
  <si>
    <t>CHAPITRE 85 - MACHINES, APPAREILS ET MATÉRIELS ÉLECTRIQUES ET LEURS PARTIES; APPAREILS D'ENREGISTREMENT OU DE REPRODUCTION DU SON, APPAREILS D'ENREGISTREMENT OU DE REPRODUCTION DES IMAGES ET DU SON EN TÉLÉVISION, ET PARTIES ET ACCESSOIRES DE CES APPAREILS: Dispositifs à semi-conducteur (par exemple, diodes, transistors, transducteurs à semiconducteur); dispositifs photosensibles à semi-conducteur, y compris les cellules photovoltaïques même assemblées en modules ou constituées en panneaux; diodes émettrices de lumière (LED), même assemblées avec d’autres diodes émettrices de lumière (LED); cristaux piézo-électriques montés: Thyristors, diacs et triacs, autres que les dispositifs photosensibles</t>
  </si>
  <si>
    <t>CHAPITRE 85 - MACHINES, APPAREILS ET MATÉRIELS ÉLECTRIQUES ET LEURS PARTIES; APPAREILS D'ENREGISTREMENT OU DE REPRODUCTION DU SON, APPAREILS D'ENREGISTREMENT OU DE REPRODUCTION DES IMAGES ET DU SON EN TÉLÉVISION, ET PARTIES ET ACCESSOIRES DE CES APPAREILS: Diodes, transistors et dispositifs similaires à semi-conducteur; dispositifs photosensibles à semi-conducteur, y compris les cellules photovoltaïques même assemblées en modules ou constituées en panneaux; diodes émettrices de lumière (LED); cristaux piézo-électriques montés: Thyristors, diacs et triacs, autres que les dispositifs photosensibles</t>
  </si>
  <si>
    <t>Cristaux piézo-électriques montés</t>
  </si>
  <si>
    <t>CHAPITRE 85 - MACHINES, APPAREILS ET MATÉRIELS ÉLECTRIQUES ET LEURS PARTIES; APPAREILS D'ENREGISTREMENT OU DE REPRODUCTION DU SON, APPAREILS D'ENREGISTREMENT OU DE REPRODUCTION DES IMAGES ET DU SON EN TÉLÉVISION, ET PARTIES ET ACCESSOIRES DE CES APPAREILS: Dispositifs à semi-conducteur (par exemple, diodes, transistors, transducteurs à semiconducteur); dispositifs photosensibles à semi-conducteur, y compris les cellules photovoltaïques même assemblées en modules ou constituées en panneaux; diodes émettrices de lumière (LED), même assemblées avec d’autres diodes émettrices de lumière (LED); cristaux piézo-électriques montés: Cristaux piézo-électriques montés</t>
  </si>
  <si>
    <t>CHAPITRE 85 - MACHINES, APPAREILS ET MATÉRIELS ÉLECTRIQUES ET LEURS PARTIES; APPAREILS D'ENREGISTREMENT OU DE REPRODUCTION DU SON, APPAREILS D'ENREGISTREMENT OU DE REPRODUCTION DES IMAGES ET DU SON EN TÉLÉVISION, ET PARTIES ET ACCESSOIRES DE CES APPAREILS: Diodes, transistors et dispositifs similaires à semi-conducteur; dispositifs photosensibles à semi-conducteur, y compris les cellules photovoltaïques même assemblées en modules ou constituées en panneaux; diodes émettrices de lumière (LED); cristaux piézo-électriques montés: Cristaux piézo-électriques montés</t>
  </si>
  <si>
    <t>CHAPITRE 85 - MACHINES, APPAREILS ET MATÉRIELS ÉLECTRIQUES ET LEURS PARTIES; APPAREILS D'ENREGISTREMENT OU DE REPRODUCTION DU SON, APPAREILS D'ENREGISTREMENT OU DE REPRODUCTION DES IMAGES ET DU SON EN TÉLÉVISION, ET PARTIES ET ACCESSOIRES DE CES APPAREILS: Dispositifs à semi-conducteur (par exemple, diodes, transistors, transducteurs à semiconducteur); dispositifs photosensibles à semi-conducteur, y compris les cellules photovoltaïques même assemblées en modules ou constituées en panneaux; diodes émettrices de lumière (LED), même assemblées avec d’autres diodes émettrices de lumière (LED); cristaux piézo-électriques montés: Parties</t>
  </si>
  <si>
    <t>CHAPITRE 85 - MACHINES, APPAREILS ET MATÉRIELS ÉLECTRIQUES ET LEURS PARTIES; APPAREILS D'ENREGISTREMENT OU DE REPRODUCTION DU SON, APPAREILS D'ENREGISTREMENT OU DE REPRODUCTION DES IMAGES ET DU SON EN TÉLÉVISION, ET PARTIES ET ACCESSOIRES DE CES APPAREILS: Diodes, transistors et dispositifs similaires à semi-conducteur; dispositifs photosensibles à semi-conducteur, y compris les cellules photovoltaïques même assemblées en modules ou constituées en panneaux; diodes émettrices de lumière (LED); cristaux piézo-électriques montés: Parties</t>
  </si>
  <si>
    <t>Circuits intégrés à composants multiples</t>
  </si>
  <si>
    <t>CHAPITRE 85 - MACHINES, APPAREILS ET MATÉRIELS ÉLECTRIQUES ET LEURS PARTIES; APPAREILS D'ENREGISTREMENT OU DE REPRODUCTION DU SON, APPAREILS D'ENREGISTREMENT OU DE REPRODUCTION DES IMAGES ET DU SON EN TÉLÉVISION, ET PARTIES ET ACCESSOIRES DE CES APPAREILS: Circuits intégrés électroniques: Circuits intégrés électroniques: Processeurs et contrôleurs, même combinés avec des mémoires, des convertisseurs, des circuits logiques, des amplificateurs, des horloges, des circuits de synchronisation ou d’autres circuits: Marchandises mentionnées dans la note 12 b) 3) et 4) du présent chapitre: Circuits intégrés à composants multiples</t>
  </si>
  <si>
    <t>CHAPITRE 85 - MACHINES, APPAREILS ET MATÉRIELS ÉLECTRIQUES ET LEURS PARTIES; APPAREILS D'ENREGISTREMENT OU DE REPRODUCTION DU SON, APPAREILS D'ENREGISTREMENT OU DE REPRODUCTION DES IMAGES ET DU SON EN TÉLÉVISION, ET PARTIES ET ACCESSOIRES DE CES APPAREILS: Circuits intégrés électroniques: Circuits intégrés électroniques: Processeurs et contrôleurs, même combinés avec des mémoires, des convertisseurs, des circuits logiques, des amplificateurs, des horloges, des circuits de synchronisation ou d’autres circuits: Marchandises mentionnées dans la note 9 b) 3) et 4) du présent chapitre: Circuits intégrés à composants multiples</t>
  </si>
  <si>
    <t>CHAPITRE 85 - MACHINES, APPAREILS ET MATÉRIELS ÉLECTRIQUES ET LEURS PARTIES; APPAREILS D'ENREGISTREMENT OU DE REPRODUCTION DU SON, APPAREILS D'ENREGISTREMENT OU DE REPRODUCTION DES IMAGES ET DU SON EN TÉLÉVISION, ET PARTIES ET ACCESSOIRES DE CES APPAREILS: Circuits intégrés électroniques: Circuits intégrés électroniques: Processeurs et contrôleurs, même combinés avec des mémoires, des convertisseurs, des circuits logiques, des amplificateurs, des horloges, des circuits de synchronisation ou d’autres circuits: Marchandises mentionnées dans la note 12 b) 3) et 4) du présent chapitre: autres</t>
  </si>
  <si>
    <t>CHAPITRE 85 - MACHINES, APPAREILS ET MATÉRIELS ÉLECTRIQUES ET LEURS PARTIES; APPAREILS D'ENREGISTREMENT OU DE REPRODUCTION DU SON, APPAREILS D'ENREGISTREMENT OU DE REPRODUCTION DES IMAGES ET DU SON EN TÉLÉVISION, ET PARTIES ET ACCESSOIRES DE CES APPAREILS: Circuits intégrés électroniques: Circuits intégrés électroniques: Processeurs et contrôleurs, même combinés avec des mémoires, des convertisseurs, des circuits logiques, des amplificateurs, des horloges, des circuits de synchronisation ou d’autres circuits: Marchandises mentionnées dans la note 9 b) 3) et 4) du présent chapitre: autres</t>
  </si>
  <si>
    <t>CHAPITRE 85 - MACHINES, APPAREILS ET MATÉRIELS ÉLECTRIQUES ET LEURS PARTIES; APPAREILS D'ENREGISTREMENT OU DE REPRODUCTION DU SON, APPAREILS D'ENREGISTREMENT OU DE REPRODUCTION DES IMAGES ET DU SON EN TÉLÉVISION, ET PARTIES ET ACCESSOIRES DE CES APPAREILS: Circuits intégrés électroniques: Circuits intégrés électroniques: Mémoires: Marchandises mentionnées dans la note 12 b) 3) et 4) du présent chapitre: Circuits intégrés à composants multiples</t>
  </si>
  <si>
    <t>CHAPITRE 85 - MACHINES, APPAREILS ET MATÉRIELS ÉLECTRIQUES ET LEURS PARTIES; APPAREILS D'ENREGISTREMENT OU DE REPRODUCTION DU SON, APPAREILS D'ENREGISTREMENT OU DE REPRODUCTION DES IMAGES ET DU SON EN TÉLÉVISION, ET PARTIES ET ACCESSOIRES DE CES APPAREILS: Circuits intégrés électroniques: Circuits intégrés électroniques: Mémoires: Marchandises mentionnées dans la note 9 b) 3) et 4) du présent chapitre: Circuits intégrés à composants multiples</t>
  </si>
  <si>
    <t>CHAPITRE 85 - MACHINES, APPAREILS ET MATÉRIELS ÉLECTRIQUES ET LEURS PARTIES; APPAREILS D'ENREGISTREMENT OU DE REPRODUCTION DU SON, APPAREILS D'ENREGISTREMENT OU DE REPRODUCTION DES IMAGES ET DU SON EN TÉLÉVISION, ET PARTIES ET ACCESSOIRES DE CES APPAREILS: Circuits intégrés électroniques: Circuits intégrés électroniques: Mémoires: Marchandises mentionnées dans la note 12 b) 3) et 4) du présent chapitre: autres</t>
  </si>
  <si>
    <t>CHAPITRE 85 - MACHINES, APPAREILS ET MATÉRIELS ÉLECTRIQUES ET LEURS PARTIES; APPAREILS D'ENREGISTREMENT OU DE REPRODUCTION DU SON, APPAREILS D'ENREGISTREMENT OU DE REPRODUCTION DES IMAGES ET DU SON EN TÉLÉVISION, ET PARTIES ET ACCESSOIRES DE CES APPAREILS: Circuits intégrés électroniques: Circuits intégrés électroniques: Mémoires: Marchandises mentionnées dans la note 9 b) 3) et 4) du présent chapitre: autres</t>
  </si>
  <si>
    <t>CHAPITRE 85 - MACHINES, APPAREILS ET MATÉRIELS ÉLECTRIQUES ET LEURS PARTIES; APPAREILS D'ENREGISTREMENT OU DE REPRODUCTION DU SON, APPAREILS D'ENREGISTREMENT OU DE REPRODUCTION DES IMAGES ET DU SON EN TÉLÉVISION, ET PARTIES ET ACCESSOIRES DE CES APPAREILS: Circuits intégrés électroniques: Circuits intégrés électroniques: autres: Marchandises mentionnées dans la note 12 b) 3) et 4) du présent chapitre: Circuits intégrés à composants multiples</t>
  </si>
  <si>
    <t>CHAPITRE 85 - MACHINES, APPAREILS ET MATÉRIELS ÉLECTRIQUES ET LEURS PARTIES; APPAREILS D'ENREGISTREMENT OU DE REPRODUCTION DU SON, APPAREILS D'ENREGISTREMENT OU DE REPRODUCTION DES IMAGES ET DU SON EN TÉLÉVISION, ET PARTIES ET ACCESSOIRES DE CES APPAREILS: Circuits intégrés électroniques: Circuits intégrés électroniques: autres: Marchandises mentionnées dans la note 9 b) 3) et 4) du présent chapitre: Circuits intégrés à composants multiples</t>
  </si>
  <si>
    <t>CHAPITRE 85 - MACHINES, APPAREILS ET MATÉRIELS ÉLECTRIQUES ET LEURS PARTIES; APPAREILS D'ENREGISTREMENT OU DE REPRODUCTION DU SON, APPAREILS D'ENREGISTREMENT OU DE REPRODUCTION DES IMAGES ET DU SON EN TÉLÉVISION, ET PARTIES ET ACCESSOIRES DE CES APPAREILS: Circuits intégrés électroniques: Circuits intégrés électroniques: autres: Marchandises mentionnées dans la note 12 b) 3) et 4) du présent chapitre: autres</t>
  </si>
  <si>
    <t>CHAPITRE 85 - MACHINES, APPAREILS ET MATÉRIELS ÉLECTRIQUES ET LEURS PARTIES; APPAREILS D'ENREGISTREMENT OU DE REPRODUCTION DU SON, APPAREILS D'ENREGISTREMENT OU DE REPRODUCTION DES IMAGES ET DU SON EN TÉLÉVISION, ET PARTIES ET ACCESSOIRES DE CES APPAREILS: Circuits intégrés électroniques: Circuits intégrés électroniques: autres: Marchandises mentionnées dans la note 9 b) 3) et 4) du présent chapitre: autres</t>
  </si>
  <si>
    <t>d'une cylindrée excédant 2800 cm³</t>
  </si>
  <si>
    <t>CHAPITRE 87 - VOITURES AUTOMOBILES, TRACTEURS, CYCLES ET AUTRES VÉHICULES TERRESTRES, LEURS PARTIES ET ACCESSOIRES: Véhicules automobiles pour le transport de dix personnes ou plus, chauffeur inclus: équipés à la fois, pour la propulsion, d’un moteur à piston à allumage par étincelles et d’un moteur électrique: d'une cylindrée excédant 2800 cm³</t>
  </si>
  <si>
    <t>CHAPITRE 87 - VOITURES AUTOMOBILES, TRACTEURS, CYCLES ET AUTRES VÉHICULES TERRESTRES, LEURS PARTIES ET ACCESSOIRES: Véhicules automobiles pour le transport de dix personnes ou plus, chauffeur inclus: équipés à la fois, pour la propulsion, d’un moteur à piston alternatif à allumage par étincelles et d’un moteur électrique: d'une cylindrée excédant 2800 cm³</t>
  </si>
  <si>
    <t>d'une cylindrée n'excédant pas 2800 cm³</t>
  </si>
  <si>
    <t>CHAPITRE 87 - VOITURES AUTOMOBILES, TRACTEURS, CYCLES ET AUTRES VÉHICULES TERRESTRES, LEURS PARTIES ET ACCESSOIRES: Véhicules automobiles pour le transport de dix personnes ou plus, chauffeur inclus: équipés à la fois, pour la propulsion, d’un moteur à piston à allumage par étincelles et d’un moteur électrique: d'une cylindrée n'excédant pas 2800 cm³</t>
  </si>
  <si>
    <t>CHAPITRE 87 - VOITURES AUTOMOBILES, TRACTEURS, CYCLES ET AUTRES VÉHICULES TERRESTRES, LEURS PARTIES ET ACCESSOIRES: Véhicules automobiles pour le transport de dix personnes ou plus, chauffeur inclus: équipés à la fois, pour la propulsion, d’un moteur à piston alternatif à allumage par étincelles et d’un moteur électrique: d'une cylindrée n'excédant pas 2800 cm³</t>
  </si>
  <si>
    <t>neufs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</si>
  <si>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à allumage par étincelles: d'une cylindrée n'excédant pas 1000 cm³: neufs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</si>
  <si>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alternatif à allumage par étincelles: d'une cylindrée n'excédant pas 1000 cm³: neufs</t>
  </si>
  <si>
    <t>usagés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</si>
  <si>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à allumage par étincelles: d'une cylindrée n'excédant pas 1000 cm³: usagés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</si>
  <si>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alternatif à allumage par étincelles: d'une cylindrée n'excédant pas 1000 cm³: usagés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</si>
  <si>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à allumage par étincelles: d'une cylindrée excédant 1000 cm³ mais n'excédant pas 1500 cm³: neufs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</si>
  <si>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alternatif à allumage par étincelles: d'une cylindrée excédant 1000 cm³ mais n'excédant pas 1500 cm³: neufs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</si>
  <si>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à allumage par étincelles: d'une cylindrée excédant 1000 cm³ mais n'excédant pas 1500 cm³: usagés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</si>
  <si>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alternatif à allumage par étincelles: d'une cylindrée excédant 1000 cm³ mais n'excédant pas 1500 cm³: usagés</t>
  </si>
  <si>
    <t>Caravanes automotrices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</si>
  <si>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à allumage par étincelles: d'une cylindrée excédant 1500 cm³ mais n'excédant pas 3000 cm³: neufs: Caravanes automotrices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</si>
  <si>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alternatif à allumage par étincelles: d'une cylindrée excédant 1500 cm³ mais n'excédant pas 3000 cm³: neufs: Caravanes automotrices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</si>
  <si>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à allumage par étincelles: d'une cylindrée excédant 1500 cm³ mais n'excédant pas 3000 cm³: neufs: autres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</si>
  <si>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alternatif à allumage par étincelles: d'une cylindrée excédant 1500 cm³ mais n'excédant pas 3000 cm³: neufs: autres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</si>
  <si>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à allumage par étincelles: d'une cylindrée excédant 1500 cm³ mais n'excédant pas 3000 cm³: usagés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</si>
  <si>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alternatif à allumage par étincelles: d'une cylindrée excédant 1500 cm³ mais n'excédant pas 3000 cm³: usagés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</si>
  <si>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à allumage par étincelles: d'une cylindrée excédant 3000 cm³: neufs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</si>
  <si>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alternatif à allumage par étincelles: d'une cylindrée excédant 3000 cm³: neufs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</si>
  <si>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à allumage par étincelles: d'une cylindrée excédant 3000 cm³: usagés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</si>
  <si>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uniquement à moteur à piston alternatif à allumage par étincelles: d'une cylindrée excédant 3000 cm³: usagés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</si>
  <si>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équipés à la fois, pour la propulsion, d’un moteur à piston à allumage par étincelles et d’un moteur électrique, autres que ceux pouvant être chargés en se branchant à une source externe d’alimentation électrique: neufs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</si>
  <si>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équipés à la fois, pour la propulsion, d’un moteur à piston alternatif à allumage par étincelles et d’un moteur électrique, autres que ceux pouvant être chargés en se branchant à une source externe d’alimentation électrique: neufs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</si>
  <si>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équipés à la fois, pour la propulsion, d’un moteur à piston à allumage par étincelles et d’un moteur électrique, autres que ceux pouvant être chargés en se branchant à une source externe d’alimentation électrique: usagés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</si>
  <si>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équipés à la fois, pour la propulsion, d’un moteur à piston alternatif à allumage par étincelles et d’un moteur électrique, autres que ceux pouvant être chargés en se branchant à une source externe d’alimentation électrique: usagés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</si>
  <si>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équipés à la fois, pour la propulsion, d’un moteur à piston à allumage par étincelles et d’un moteur électrique, pouvant être chargés en se branchant à une source externe d’alimentation électrique: neufs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</si>
  <si>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équipés à la fois, pour la propulsion, d’un moteur à piston alternatif à allumage par étincelles et d’un moteur électrique, pouvant être chargés en se branchant à une source externe d’alimentation électrique: neufs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</si>
  <si>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équipés à la fois, pour la propulsion, d’un moteur à piston à allumage par étincelles et d’un moteur électrique, pouvant être chargés en se branchant à une source externe d’alimentation électrique: usagés</t>
  </si>
  <si>
    <t>CHAPITRE 87 - VOITURES AUTOMOBILES, TRACTEURS, CYCLES ET AUTRES VÉHICULES TERRESTRES, LEURS PARTIES ET ACCESSOIRES: Voitures de tourisme et autres véhicules automobiles principalement conçus pour le transport de personnes (autres que ceux du no 8702), y compris les voitures du type « break » et les voitures de course: autres véhicules, équipés à la fois, pour la propulsion, d’un moteur à piston alternatif à allumage par étincelles et d’un moteur électrique, pouvant être chargés en se branchant à une source externe d’alimentation électrique: usagés</t>
  </si>
  <si>
    <t>spécialement conçus pour le transport des produits à forte radioactivité (Euratom)</t>
  </si>
  <si>
    <t>CHAPITRE 87 - VOITURES AUTOMOBILES, TRACTEURS, CYCLES ET AUTRES VÉHICULES TERRESTRES, LEURS PARTIES ET ACCESSOIRES: Véhicules automobiles pour le transport de marchandises: Autres, uniquement à moteur à piston à allumage par compression (diesel ou semi-diesel): d’un poids en charge maximal n’excédant pas 5 tonnes: spécialement conçus pour le transport des produits à forte radioactivité (Euratom)</t>
  </si>
  <si>
    <t>CHAPITRE 87 - VOITURES AUTOMOBILES, TRACTEURS, CYCLES ET AUTRES VÉHICULES TERRESTRES, LEURS PARTIES ET ACCESSOIRES: Véhicules automobiles pour le transport de marchandises: autres, à moteur à piston à allumage par compression (diesel ou semi-diesel): d'un poids en charge maximal n'excédant pas 5 t: spécialement conçus pour le transport des produits à forte radioactivité (Euratom)</t>
  </si>
  <si>
    <t>CHAPITRE 87 - VOITURES AUTOMOBILES, TRACTEURS, CYCLES ET AUTRES VÉHICULES TERRESTRES, LEURS PARTIES ET ACCESSOIRES: Véhicules automobiles pour le transport de marchandises: Autres, uniquement à moteur à piston à allumage par compression (diesel ou semi-diesel): d’un poids en charge maximal n’excédant pas 5 tonnes: autres: à moteur d'une cylindrée excédant 2500 cm³: neufs</t>
  </si>
  <si>
    <t>CHAPITRE 87 - VOITURES AUTOMOBILES, TRACTEURS, CYCLES ET AUTRES VÉHICULES TERRESTRES, LEURS PARTIES ET ACCESSOIRES: Véhicules automobiles pour le transport de marchandises: autres, à moteur à piston à allumage par compression (diesel ou semi-diesel): d'un poids en charge maximal n'excédant pas 5 t: autres: à moteur d'une cylindrée excédant 2500 cm³: neufs</t>
  </si>
  <si>
    <t>CHAPITRE 87 - VOITURES AUTOMOBILES, TRACTEURS, CYCLES ET AUTRES VÉHICULES TERRESTRES, LEURS PARTIES ET ACCESSOIRES: Véhicules automobiles pour le transport de marchandises: Autres, uniquement à moteur à piston à allumage par compression (diesel ou semi-diesel): d’un poids en charge maximal n’excédant pas 5 tonnes: autres: à moteur d'une cylindrée excédant 2500 cm³: usagés</t>
  </si>
  <si>
    <t>CHAPITRE 87 - VOITURES AUTOMOBILES, TRACTEURS, CYCLES ET AUTRES VÉHICULES TERRESTRES, LEURS PARTIES ET ACCESSOIRES: Véhicules automobiles pour le transport de marchandises: autres, à moteur à piston à allumage par compression (diesel ou semi-diesel): d'un poids en charge maximal n'excédant pas 5 t: autres: à moteur d'une cylindrée excédant 2500 cm³: usagés</t>
  </si>
  <si>
    <t>CHAPITRE 87 - VOITURES AUTOMOBILES, TRACTEURS, CYCLES ET AUTRES VÉHICULES TERRESTRES, LEURS PARTIES ET ACCESSOIRES: Véhicules automobiles pour le transport de marchandises: Autres, uniquement à moteur à piston à allumage par compression (diesel ou semi-diesel): d’un poids en charge maximal n’excédant pas 5 tonnes: autres: à moteur d'une cylindrée n'excédant pas 2500 cm³: neufs</t>
  </si>
  <si>
    <t>CHAPITRE 87 - VOITURES AUTOMOBILES, TRACTEURS, CYCLES ET AUTRES VÉHICULES TERRESTRES, LEURS PARTIES ET ACCESSOIRES: Véhicules automobiles pour le transport de marchandises: autres, à moteur à piston à allumage par compression (diesel ou semi-diesel): d'un poids en charge maximal n'excédant pas 5 t: autres: à moteur d'une cylindrée n'excédant pas 2500 cm³: neufs</t>
  </si>
  <si>
    <t>CHAPITRE 87 - VOITURES AUTOMOBILES, TRACTEURS, CYCLES ET AUTRES VÉHICULES TERRESTRES, LEURS PARTIES ET ACCESSOIRES: Véhicules automobiles pour le transport de marchandises: Autres, uniquement à moteur à piston à allumage par compression (diesel ou semi-diesel): d’un poids en charge maximal n’excédant pas 5 tonnes: autres: à moteur d'une cylindrée n'excédant pas 2500 cm³: usagés</t>
  </si>
  <si>
    <t>CHAPITRE 87 - VOITURES AUTOMOBILES, TRACTEURS, CYCLES ET AUTRES VÉHICULES TERRESTRES, LEURS PARTIES ET ACCESSOIRES: Véhicules automobiles pour le transport de marchandises: autres, à moteur à piston à allumage par compression (diesel ou semi-diesel): d'un poids en charge maximal n'excédant pas 5 t: autres: à moteur d'une cylindrée n'excédant pas 2500 cm³: usagés</t>
  </si>
  <si>
    <t>CHAPITRE 87 - VOITURES AUTOMOBILES, TRACTEURS, CYCLES ET AUTRES VÉHICULES TERRESTRES, LEURS PARTIES ET ACCESSOIRES: Véhicules automobiles pour le transport de marchandises: Autres, uniquement à moteur à piston à allumage par compression (diesel ou semi-diesel): d’un poids en charge maximal excédant 5 tonnes mais n’excédant pas 20 tonnes: spécialement conçus pour le transport des produits à forte radioactivité (Euratom)</t>
  </si>
  <si>
    <t>CHAPITRE 87 - VOITURES AUTOMOBILES, TRACTEURS, CYCLES ET AUTRES VÉHICULES TERRESTRES, LEURS PARTIES ET ACCESSOIRES: Véhicules automobiles pour le transport de marchandises: autres, à moteur à piston à allumage par compression (diesel ou semi-diesel): d'un poids en charge maximal excédant 5 t mais n'excédant pas 20 t: spécialement conçus pour le transport des produits à forte radioactivité (Euratom)</t>
  </si>
  <si>
    <t>CHAPITRE 87 - VOITURES AUTOMOBILES, TRACTEURS, CYCLES ET AUTRES VÉHICULES TERRESTRES, LEURS PARTIES ET ACCESSOIRES: Véhicules automobiles pour le transport de marchandises: Autres, uniquement à moteur à piston à allumage par compression (diesel ou semi-diesel): d’un poids en charge maximal excédant 5 tonnes mais n’excédant pas 20 tonnes: autres: neufs</t>
  </si>
  <si>
    <t>CHAPITRE 87 - VOITURES AUTOMOBILES, TRACTEURS, CYCLES ET AUTRES VÉHICULES TERRESTRES, LEURS PARTIES ET ACCESSOIRES: Véhicules automobiles pour le transport de marchandises: autres, à moteur à piston à allumage par compression (diesel ou semi-diesel): d'un poids en charge maximal excédant 5 t mais n'excédant pas 20 t: autres: neufs</t>
  </si>
  <si>
    <t>CHAPITRE 87 - VOITURES AUTOMOBILES, TRACTEURS, CYCLES ET AUTRES VÉHICULES TERRESTRES, LEURS PARTIES ET ACCESSOIRES: Véhicules automobiles pour le transport de marchandises: Autres, uniquement à moteur à piston à allumage par compression (diesel ou semi-diesel): d’un poids en charge maximal excédant 5 tonnes mais n’excédant pas 20 tonnes: autres: usagés</t>
  </si>
  <si>
    <t>CHAPITRE 87 - VOITURES AUTOMOBILES, TRACTEURS, CYCLES ET AUTRES VÉHICULES TERRESTRES, LEURS PARTIES ET ACCESSOIRES: Véhicules automobiles pour le transport de marchandises: autres, à moteur à piston à allumage par compression (diesel ou semi-diesel): d'un poids en charge maximal excédant 5 t mais n'excédant pas 20 t: autres: usagés</t>
  </si>
  <si>
    <t>CHAPITRE 87 - VOITURES AUTOMOBILES, TRACTEURS, CYCLES ET AUTRES VÉHICULES TERRESTRES, LEURS PARTIES ET ACCESSOIRES: Véhicules automobiles pour le transport de marchandises: Autres, uniquement à moteur à piston à allumage par compression (diesel ou semi-diesel): d'un poids en charge maximal excédant 20 tonnes: spécialement conçus pour le transport des produits à forte radioactivité (Euratom)</t>
  </si>
  <si>
    <t>CHAPITRE 87 - VOITURES AUTOMOBILES, TRACTEURS, CYCLES ET AUTRES VÉHICULES TERRESTRES, LEURS PARTIES ET ACCESSOIRES: Véhicules automobiles pour le transport de marchandises: autres, à moteur à piston à allumage par compression (diesel ou semi-diesel): d'un poids en charge maximal excédant 20 t: spécialement conçus pour le transport des produits à forte radioactivité (Euratom)</t>
  </si>
  <si>
    <t>CHAPITRE 87 - VOITURES AUTOMOBILES, TRACTEURS, CYCLES ET AUTRES VÉHICULES TERRESTRES, LEURS PARTIES ET ACCESSOIRES: Véhicules automobiles pour le transport de marchandises: Autres, uniquement à moteur à piston à allumage par compression (diesel ou semi-diesel): d'un poids en charge maximal excédant 20 tonnes: autres: neufs</t>
  </si>
  <si>
    <t>CHAPITRE 87 - VOITURES AUTOMOBILES, TRACTEURS, CYCLES ET AUTRES VÉHICULES TERRESTRES, LEURS PARTIES ET ACCESSOIRES: Véhicules automobiles pour le transport de marchandises: autres, à moteur à piston à allumage par compression (diesel ou semi-diesel): d'un poids en charge maximal excédant 20 t: autres: neufs</t>
  </si>
  <si>
    <t>CHAPITRE 87 - VOITURES AUTOMOBILES, TRACTEURS, CYCLES ET AUTRES VÉHICULES TERRESTRES, LEURS PARTIES ET ACCESSOIRES: Véhicules automobiles pour le transport de marchandises: Autres, uniquement à moteur à piston à allumage par compression (diesel ou semi-diesel): d'un poids en charge maximal excédant 20 tonnes: autres: usagés</t>
  </si>
  <si>
    <t>CHAPITRE 87 - VOITURES AUTOMOBILES, TRACTEURS, CYCLES ET AUTRES VÉHICULES TERRESTRES, LEURS PARTIES ET ACCESSOIRES: Véhicules automobiles pour le transport de marchandises: autres, à moteur à piston à allumage par compression (diesel ou semi-diesel): d'un poids en charge maximal excédant 20 t: autres: usagés</t>
  </si>
  <si>
    <t>CHAPITRE 87 - VOITURES AUTOMOBILES, TRACTEURS, CYCLES ET AUTRES VÉHICULES TERRESTRES, LEURS PARTIES ET ACCESSOIRES: Véhicules automobiles pour le transport de marchandises: Autres, uniquement à moteur à piston à allumage par étincelles: d'un poids en charge maximal n’excédant pas 5 tonnes: spécialement conçus pour le transport des produits à forte radioactivité (Euratom)</t>
  </si>
  <si>
    <t>CHAPITRE 87 - VOITURES AUTOMOBILES, TRACTEURS, CYCLES ET AUTRES VÉHICULES TERRESTRES, LEURS PARTIES ET ACCESSOIRES: Véhicules automobiles pour le transport de marchandises: autres, à moteur à piston à allumage par étincelles: d'un poids en charge maximal n'excédant pas 5 t: spécialement conçus pour le transport des produits à forte radioactivité (Euratom)</t>
  </si>
  <si>
    <t>CHAPITRE 87 - VOITURES AUTOMOBILES, TRACTEURS, CYCLES ET AUTRES VÉHICULES TERRESTRES, LEURS PARTIES ET ACCESSOIRES: Véhicules automobiles pour le transport de marchandises: Autres, uniquement à moteur à piston à allumage par étincelles: d'un poids en charge maximal n’excédant pas 5 tonnes: autres: à moteur d'une cylindrée excédant 2800 cm³: neufs</t>
  </si>
  <si>
    <t>CHAPITRE 87 - VOITURES AUTOMOBILES, TRACTEURS, CYCLES ET AUTRES VÉHICULES TERRESTRES, LEURS PARTIES ET ACCESSOIRES: Véhicules automobiles pour le transport de marchandises: autres, à moteur à piston à allumage par étincelles: d'un poids en charge maximal n'excédant pas 5 t: autres: à moteur d'une cylindrée excédant 2800 cm³: neufs</t>
  </si>
  <si>
    <t>CHAPITRE 87 - VOITURES AUTOMOBILES, TRACTEURS, CYCLES ET AUTRES VÉHICULES TERRESTRES, LEURS PARTIES ET ACCESSOIRES: Véhicules automobiles pour le transport de marchandises: Autres, uniquement à moteur à piston à allumage par étincelles: d'un poids en charge maximal n’excédant pas 5 tonnes: autres: à moteur d'une cylindrée excédant 2800 cm³: usagés</t>
  </si>
  <si>
    <t>CHAPITRE 87 - VOITURES AUTOMOBILES, TRACTEURS, CYCLES ET AUTRES VÉHICULES TERRESTRES, LEURS PARTIES ET ACCESSOIRES: Véhicules automobiles pour le transport de marchandises: autres, à moteur à piston à allumage par étincelles: d'un poids en charge maximal n'excédant pas 5 t: autres: à moteur d'une cylindrée excédant 2800 cm³: usagés</t>
  </si>
  <si>
    <t>CHAPITRE 87 - VOITURES AUTOMOBILES, TRACTEURS, CYCLES ET AUTRES VÉHICULES TERRESTRES, LEURS PARTIES ET ACCESSOIRES: Véhicules automobiles pour le transport de marchandises: Autres, uniquement à moteur à piston à allumage par étincelles: d'un poids en charge maximal n’excédant pas 5 tonnes: autres: à moteur d'une cylindrée n'excédant pas 2800 cm³: neufs</t>
  </si>
  <si>
    <t>CHAPITRE 87 - VOITURES AUTOMOBILES, TRACTEURS, CYCLES ET AUTRES VÉHICULES TERRESTRES, LEURS PARTIES ET ACCESSOIRES: Véhicules automobiles pour le transport de marchandises: autres, à moteur à piston à allumage par étincelles: d'un poids en charge maximal n'excédant pas 5 t: autres: à moteur d'une cylindrée n'excédant pas 2800 cm³: neufs</t>
  </si>
  <si>
    <t>CHAPITRE 87 - VOITURES AUTOMOBILES, TRACTEURS, CYCLES ET AUTRES VÉHICULES TERRESTRES, LEURS PARTIES ET ACCESSOIRES: Véhicules automobiles pour le transport de marchandises: Autres, uniquement à moteur à piston à allumage par étincelles: d'un poids en charge maximal n’excédant pas 5 tonnes: autres: à moteur d'une cylindrée n'excédant pas 2800 cm³: usagés</t>
  </si>
  <si>
    <t>CHAPITRE 87 - VOITURES AUTOMOBILES, TRACTEURS, CYCLES ET AUTRES VÉHICULES TERRESTRES, LEURS PARTIES ET ACCESSOIRES: Véhicules automobiles pour le transport de marchandises: autres, à moteur à piston à allumage par étincelles: d'un poids en charge maximal n'excédant pas 5 t: autres: à moteur d'une cylindrée n'excédant pas 2800 cm³: usagés</t>
  </si>
  <si>
    <t>CHAPITRE 87 - VOITURES AUTOMOBILES, TRACTEURS, CYCLES ET AUTRES VÉHICULES TERRESTRES, LEURS PARTIES ET ACCESSOIRES: Véhicules automobiles pour le transport de marchandises: Autres, uniquement à moteur à piston à allumage par étincelles: d'un poids en charge maximal excédant 5 tonnes: spécialement conçus pour le transport des produits à forte radioactivité (Euratom)</t>
  </si>
  <si>
    <t>CHAPITRE 87 - VOITURES AUTOMOBILES, TRACTEURS, CYCLES ET AUTRES VÉHICULES TERRESTRES, LEURS PARTIES ET ACCESSOIRES: Véhicules automobiles pour le transport de marchandises: autres, à moteur à piston à allumage par étincelles: d'un poids en charge maximal excédant 5 t: spécialement conçus pour le transport des produits à forte radioactivité (Euratom)</t>
  </si>
  <si>
    <t>CHAPITRE 87 - VOITURES AUTOMOBILES, TRACTEURS, CYCLES ET AUTRES VÉHICULES TERRESTRES, LEURS PARTIES ET ACCESSOIRES: Véhicules automobiles pour le transport de marchandises: Autres, uniquement à moteur à piston à allumage par étincelles: d'un poids en charge maximal excédant 5 tonnes: autres: neufs</t>
  </si>
  <si>
    <t>CHAPITRE 87 - VOITURES AUTOMOBILES, TRACTEURS, CYCLES ET AUTRES VÉHICULES TERRESTRES, LEURS PARTIES ET ACCESSOIRES: Véhicules automobiles pour le transport de marchandises: autres, à moteur à piston à allumage par étincelles: d'un poids en charge maximal excédant 5 t: autres: neufs</t>
  </si>
  <si>
    <t>CHAPITRE 87 - VOITURES AUTOMOBILES, TRACTEURS, CYCLES ET AUTRES VÉHICULES TERRESTRES, LEURS PARTIES ET ACCESSOIRES: Véhicules automobiles pour le transport de marchandises: Autres, uniquement à moteur à piston à allumage par étincelles: d'un poids en charge maximal excédant 5 tonnes: autres: usagés</t>
  </si>
  <si>
    <t>CHAPITRE 87 - VOITURES AUTOMOBILES, TRACTEURS, CYCLES ET AUTRES VÉHICULES TERRESTRES, LEURS PARTIES ET ACCESSOIRES: Véhicules automobiles pour le transport de marchandises: autres, à moteur à piston à allumage par étincelles: d'un poids en charge maximal excédant 5 t: autres: usagés</t>
  </si>
  <si>
    <t>à moteur à piston, d'une cylindrée n'excédant pas 50 cm³</t>
  </si>
  <si>
    <t>à moteur à piston alternatif, d'une cylindrée n'excédant pas 50 cm³</t>
  </si>
  <si>
    <t>CHAPITRE 87 - VOITURES AUTOMOBILES, TRACTEURS, CYCLES ET AUTRES VÉHICULES TERRESTRES, LEURS PARTIES ET ACCESSOIRES: Motocycles (y compris les cyclomoteurs) et cycles équipés d'un moteur auxiliaire, avec ou sans side-cars; side-cars: à moteur à piston, d'une cylindrée n'excédant pas 50 cm³</t>
  </si>
  <si>
    <t>CHAPITRE 87 - VOITURES AUTOMOBILES, TRACTEURS, CYCLES ET AUTRES VÉHICULES TERRESTRES, LEURS PARTIES ET ACCESSOIRES: Motocycles (y compris les cyclomoteurs) et cycles équipés d'un moteur auxiliaire, avec ou sans side-cars; side-cars: à moteur à piston alternatif, d'une cylindrée n'excédant pas 50 cm³</t>
  </si>
  <si>
    <t>CHAPITRE 87 - VOITURES AUTOMOBILES, TRACTEURS, CYCLES ET AUTRES VÉHICULES TERRESTRES, LEURS PARTIES ET ACCESSOIRES: Motocycles (y compris les cyclomoteurs) et cycles équipés d'un moteur auxiliaire, avec ou sans side-cars; side-cars: à moteur à piston, d'une cylindrée excédant 50 cm³ mais n'excédant pas 250 cm³: Scooters</t>
  </si>
  <si>
    <t>CHAPITRE 87 - VOITURES AUTOMOBILES, TRACTEURS, CYCLES ET AUTRES VÉHICULES TERRESTRES, LEURS PARTIES ET ACCESSOIRES: Motocycles (y compris les cyclomoteurs) et cycles équipés d'un moteur auxiliaire, avec ou sans side-cars; side-cars: à moteur à piston alternatif, d'une cylindrée excédant 50 cm³ mais n'excédant pas 250 cm³: Scooters</t>
  </si>
  <si>
    <t>excédant 50 cm³ mais n'excédant pas 125 cm³</t>
  </si>
  <si>
    <t>CHAPITRE 87 - VOITURES AUTOMOBILES, TRACTEURS, CYCLES ET AUTRES VÉHICULES TERRESTRES, LEURS PARTIES ET ACCESSOIRES: Motocycles (y compris les cyclomoteurs) et cycles équipés d'un moteur auxiliaire, avec ou sans side-cars; side-cars: à moteur à piston, d'une cylindrée excédant 50 cm³ mais n'excédant pas 250 cm³: autres, d'une cylindrée: excédant 50 cm³ mais n'excédant pas 125 cm³</t>
  </si>
  <si>
    <t>CHAPITRE 87 - VOITURES AUTOMOBILES, TRACTEURS, CYCLES ET AUTRES VÉHICULES TERRESTRES, LEURS PARTIES ET ACCESSOIRES: Motocycles (y compris les cyclomoteurs) et cycles équipés d'un moteur auxiliaire, avec ou sans side-cars; side-cars: à moteur à piston alternatif, d'une cylindrée excédant 50 cm³ mais n'excédant pas 250 cm³: autres, d'une cylindrée: excédant 50 cm³ mais n'excédant pas 125 cm³</t>
  </si>
  <si>
    <t>excédant 125 cm³ mais n'excédant pas 250 cm³</t>
  </si>
  <si>
    <t>CHAPITRE 87 - VOITURES AUTOMOBILES, TRACTEURS, CYCLES ET AUTRES VÉHICULES TERRESTRES, LEURS PARTIES ET ACCESSOIRES: Motocycles (y compris les cyclomoteurs) et cycles équipés d'un moteur auxiliaire, avec ou sans side-cars; side-cars: à moteur à piston, d'une cylindrée excédant 50 cm³ mais n'excédant pas 250 cm³: autres, d'une cylindrée: excédant 125 cm³ mais n'excédant pas 250 cm³</t>
  </si>
  <si>
    <t>CHAPITRE 87 - VOITURES AUTOMOBILES, TRACTEURS, CYCLES ET AUTRES VÉHICULES TERRESTRES, LEURS PARTIES ET ACCESSOIRES: Motocycles (y compris les cyclomoteurs) et cycles équipés d'un moteur auxiliaire, avec ou sans side-cars; side-cars: à moteur à piston alternatif, d'une cylindrée excédant 50 cm³ mais n'excédant pas 250 cm³: autres, d'une cylindrée: excédant 125 cm³ mais n'excédant pas 250 cm³</t>
  </si>
  <si>
    <t>d'une cylindrée excédant 250 cm³ mais n'excédant pas 380 cm³</t>
  </si>
  <si>
    <t>CHAPITRE 87 - VOITURES AUTOMOBILES, TRACTEURS, CYCLES ET AUTRES VÉHICULES TERRESTRES, LEURS PARTIES ET ACCESSOIRES: Motocycles (y compris les cyclomoteurs) et cycles équipés d'un moteur auxiliaire, avec ou sans side-cars; side-cars: à moteur à piston, d'une cylindrée excédant 250 cm³ mais n'excédant pas 500 cm³: d'une cylindrée excédant 250 cm³ mais n'excédant pas 380 cm³</t>
  </si>
  <si>
    <t>CHAPITRE 87 - VOITURES AUTOMOBILES, TRACTEURS, CYCLES ET AUTRES VÉHICULES TERRESTRES, LEURS PARTIES ET ACCESSOIRES: Motocycles (y compris les cyclomoteurs) et cycles équipés d'un moteur auxiliaire, avec ou sans side-cars; side-cars: à moteur à piston alternatif, d'une cylindrée excédant 250 cm³ mais n'excédant pas 500 cm³: d'une cylindrée excédant 250 cm³ mais n'excédant pas 380 cm³</t>
  </si>
  <si>
    <t>d'une cylindrée excédant 380 cm³ mais n'excédant pas 500 cm³</t>
  </si>
  <si>
    <t>CHAPITRE 87 - VOITURES AUTOMOBILES, TRACTEURS, CYCLES ET AUTRES VÉHICULES TERRESTRES, LEURS PARTIES ET ACCESSOIRES: Motocycles (y compris les cyclomoteurs) et cycles équipés d'un moteur auxiliaire, avec ou sans side-cars; side-cars: à moteur à piston, d'une cylindrée excédant 250 cm³ mais n'excédant pas 500 cm³: d'une cylindrée excédant 380 cm³ mais n'excédant pas 500 cm³</t>
  </si>
  <si>
    <t>CHAPITRE 87 - VOITURES AUTOMOBILES, TRACTEURS, CYCLES ET AUTRES VÉHICULES TERRESTRES, LEURS PARTIES ET ACCESSOIRES: Motocycles (y compris les cyclomoteurs) et cycles équipés d'un moteur auxiliaire, avec ou sans side-cars; side-cars: à moteur à piston alternatif, d'une cylindrée excédant 250 cm³ mais n'excédant pas 500 cm³: d'une cylindrée excédant 380 cm³ mais n'excédant pas 500 cm³</t>
  </si>
  <si>
    <t>à moteur à piston, d'une cylindrée excédant 500 cm³ mais n'excédant pas 800 cm³</t>
  </si>
  <si>
    <t>à moteur à piston alternatif, d'une cylindrée excédant 500 cm³ mais n'excédant pas 800 cm³</t>
  </si>
  <si>
    <t>CHAPITRE 87 - VOITURES AUTOMOBILES, TRACTEURS, CYCLES ET AUTRES VÉHICULES TERRESTRES, LEURS PARTIES ET ACCESSOIRES: Motocycles (y compris les cyclomoteurs) et cycles équipés d'un moteur auxiliaire, avec ou sans side-cars; side-cars: à moteur à piston, d'une cylindrée excédant 500 cm³ mais n'excédant pas 800 cm³</t>
  </si>
  <si>
    <t>CHAPITRE 87 - VOITURES AUTOMOBILES, TRACTEURS, CYCLES ET AUTRES VÉHICULES TERRESTRES, LEURS PARTIES ET ACCESSOIRES: Motocycles (y compris les cyclomoteurs) et cycles équipés d'un moteur auxiliaire, avec ou sans side-cars; side-cars: à moteur à piston alternatif, d'une cylindrée excédant 500 cm³ mais n'excédant pas 800 cm³</t>
  </si>
  <si>
    <t>d'un poids à vide n'excédant pas 2000 kg</t>
  </si>
  <si>
    <t>CHAPITRE 88 - NAVIGATION AÉRIENNE OU SPATIALE: Autres véhicules aériens (hélicoptères, avions, par exemple), à l’exception des véhicules aériens sans pilote du n° 8806; véhicules spatiaux (y compris les satellites) et leurs véhicules lanceurs et véhicules sous-orbitaux: Hélicoptères: d'un poids à vide n'excédant pas 2000 kg</t>
  </si>
  <si>
    <t>CHAPITRE 88 - NAVIGATION AÉRIENNE OU SPATIALE: Autres véhicules aériens (hélicoptères, avions, par exemple); véhicules spatiaux (y compris les satellites) et leurs véhicules lanceurs et véhicules sous-orbitaux: Hélicoptères: d'un poids à vide n'excédant pas 2000 kg</t>
  </si>
  <si>
    <t>d'un poids à vide excédant 2000 kg</t>
  </si>
  <si>
    <t>CHAPITRE 88 - NAVIGATION AÉRIENNE OU SPATIALE: Autres véhicules aériens (hélicoptères, avions, par exemple), à l’exception des véhicules aériens sans pilote du n° 8806; véhicules spatiaux (y compris les satellites) et leurs véhicules lanceurs et véhicules sous-orbitaux: Hélicoptères: d'un poids à vide excédant 2000 kg</t>
  </si>
  <si>
    <t>CHAPITRE 88 - NAVIGATION AÉRIENNE OU SPATIALE: Autres véhicules aériens (hélicoptères, avions, par exemple); véhicules spatiaux (y compris les satellites) et leurs véhicules lanceurs et véhicules sous-orbitaux: Hélicoptères: d'un poids à vide excédant 2000 kg</t>
  </si>
  <si>
    <t>Avions et autres véhicules aériens, d'un poids à vide n'excédant pas 2000 kg</t>
  </si>
  <si>
    <t>CHAPITRE 88 - NAVIGATION AÉRIENNE OU SPATIALE: Autres véhicules aériens (hélicoptères, avions, par exemple), à l’exception des véhicules aériens sans pilote du n° 8806; véhicules spatiaux (y compris les satellites) et leurs véhicules lanceurs et véhicules sous-orbitaux: Avions et autres véhicules aériens, d'un poids à vide n'excédant pas 2000 kg</t>
  </si>
  <si>
    <t>CHAPITRE 88 - NAVIGATION AÉRIENNE OU SPATIALE: Autres véhicules aériens (hélicoptères, avions, par exemple); véhicules spatiaux (y compris les satellites) et leurs véhicules lanceurs et véhicules sous-orbitaux: Avions et autres véhicules aériens, d'un poids à vide n'excédant pas 2000 kg</t>
  </si>
  <si>
    <t>Avions et autres véhicules aériens, d'un poids à vide excédant 2000 kg mais n'excédant pas 15000 kg</t>
  </si>
  <si>
    <t>CHAPITRE 88 - NAVIGATION AÉRIENNE OU SPATIALE: Autres véhicules aériens (hélicoptères, avions, par exemple), à l’exception des véhicules aériens sans pilote du n° 8806; véhicules spatiaux (y compris les satellites) et leurs véhicules lanceurs et véhicules sous-orbitaux: Avions et autres véhicules aériens, d'un poids à vide excédant 2000 kg mais n'excédant pas 15000 kg</t>
  </si>
  <si>
    <t>CHAPITRE 88 - NAVIGATION AÉRIENNE OU SPATIALE: Autres véhicules aériens (hélicoptères, avions, par exemple); véhicules spatiaux (y compris les satellites) et leurs véhicules lanceurs et véhicules sous-orbitaux: Avions et autres véhicules aériens, d'un poids à vide excédant 2000 kg mais n'excédant pas 15000 kg</t>
  </si>
  <si>
    <t>Avions et autres véhicules aériens, d'un poids à vide excédant 15000 kg</t>
  </si>
  <si>
    <t>CHAPITRE 88 - NAVIGATION AÉRIENNE OU SPATIALE: Autres véhicules aériens (hélicoptères, avions, par exemple), à l’exception des véhicules aériens sans pilote du n° 8806; véhicules spatiaux (y compris les satellites) et leurs véhicules lanceurs et véhicules sous-orbitaux: Avions et autres véhicules aériens, d'un poids à vide excédant 15000 kg</t>
  </si>
  <si>
    <t>CHAPITRE 88 - NAVIGATION AÉRIENNE OU SPATIALE: Autres véhicules aériens (hélicoptères, avions, par exemple); véhicules spatiaux (y compris les satellites) et leurs véhicules lanceurs et véhicules sous-orbitaux: Avions et autres véhicules aériens, d'un poids à vide excédant 15000 kg</t>
  </si>
  <si>
    <t>Satellites de télécommunications</t>
  </si>
  <si>
    <t>CHAPITRE 88 - NAVIGATION AÉRIENNE OU SPATIALE: Autres véhicules aériens (hélicoptères, avions, par exemple), à l’exception des véhicules aériens sans pilote du n° 8806; véhicules spatiaux (y compris les satellites) et leurs véhicules lanceurs et véhicules sous-orbitaux: Véhicules spatiaux (y compris les satellites) et leurs véhicules lanceurs et véhicules sous-orbitaux: Véhicules spatiaux (y compris les satellites): Satellites de télécommunications</t>
  </si>
  <si>
    <t>CHAPITRE 88 - NAVIGATION AÉRIENNE OU SPATIALE: Autres véhicules aériens (hélicoptères, avions, par exemple); véhicules spatiaux (y compris les satellites) et leurs véhicules lanceurs et véhicules sous-orbitaux: Véhicules spatiaux (y compris les satellites) et leurs véhicules lanceurs et véhicules sous-orbitaux: Véhicules spatiaux (y compris les satellites): Satellites de télécommunications</t>
  </si>
  <si>
    <t>CHAPITRE 88 - NAVIGATION AÉRIENNE OU SPATIALE: Autres véhicules aériens (hélicoptères, avions, par exemple), à l’exception des véhicules aériens sans pilote du n° 8806; véhicules spatiaux (y compris les satellites) et leurs véhicules lanceurs et véhicules sous-orbitaux: Véhicules spatiaux (y compris les satellites) et leurs véhicules lanceurs et véhicules sous-orbitaux: Véhicules spatiaux (y compris les satellites): autres</t>
  </si>
  <si>
    <t>CHAPITRE 88 - NAVIGATION AÉRIENNE OU SPATIALE: Autres véhicules aériens (hélicoptères, avions, par exemple); véhicules spatiaux (y compris les satellites) et leurs véhicules lanceurs et véhicules sous-orbitaux: Véhicules spatiaux (y compris les satellites) et leurs véhicules lanceurs et véhicules sous-orbitaux: Véhicules spatiaux (y compris les satellites): autres</t>
  </si>
  <si>
    <t>Véhicules lanceurs et véhicules sous-orbitaux</t>
  </si>
  <si>
    <t>CHAPITRE 88 - NAVIGATION AÉRIENNE OU SPATIALE: Autres véhicules aériens (hélicoptères, avions, par exemple), à l’exception des véhicules aériens sans pilote du n° 8806; véhicules spatiaux (y compris les satellites) et leurs véhicules lanceurs et véhicules sous-orbitaux: Véhicules spatiaux (y compris les satellites) et leurs véhicules lanceurs et véhicules sous-orbitaux: Véhicules lanceurs et véhicules sous-orbitaux</t>
  </si>
  <si>
    <t>CHAPITRE 88 - NAVIGATION AÉRIENNE OU SPATIALE: Autres véhicules aériens (hélicoptères, avions, par exemple); véhicules spatiaux (y compris les satellites) et leurs véhicules lanceurs et véhicules sous-orbitaux: Véhicules spatiaux (y compris les satellites) et leurs véhicules lanceurs et véhicules sous-orbitaux: Véhicules lanceurs et véhicules sous-orbitaux</t>
  </si>
  <si>
    <t>d'une longueur excédant 7,5 m</t>
  </si>
  <si>
    <t>CHAPITRE 89 - NAVIGATION MARITIME OU FLUVIALE: Yachts et autres bateaux et embarcations de plaisance ou de sport; bateaux à rames et canoës: autres: autres: autres</t>
  </si>
  <si>
    <t>CHAPITRE 89 - NAVIGATION MARITIME OU FLUVIALE: Yachts et autres bateaux et embarcations de plaisance ou de sport; bateaux à rames et canoës: autres: autres: autres: d'une longueur excédant 7,5 m</t>
  </si>
  <si>
    <t>Appareils photographiques jetables</t>
  </si>
  <si>
    <t>CHAPITRE 90 - INSTRUMENTS ET APPAREILS D'OPTIQUE, DE PHOTOGRAPHIE OU DE CINÉMATOGRAPHIE, DE MESURE, DE CONTRÔLE OU DE PRÉCISION; INSTRUMENTS ET APPAREILS MÉDICO-CHIRURGICAUX; PARTIES ET ACCESSOIRES DE CES INSTRUMENTS OU APPAREILS: Appareils photographiques; appareils et dispositifs, y compris les lampes et tubes, pour la production de la lumière-éclair en photographie, à l'exclusion des lampes et tubes à décharge du no 8539: autres appareils photographiques: pour pellicules en rouleaux d’une largeur de 35 mm: Appareils photographiques jetables</t>
  </si>
  <si>
    <t>CHAPITRE 90 - INSTRUMENTS ET APPAREILS D'OPTIQUE, DE PHOTOGRAPHIE OU DE CINÉMATOGRAPHIE, DE MESURE, DE CONTRÔLE OU DE PRÉCISION; INSTRUMENTS ET APPAREILS MÉDICO-CHIRURGICAUX; PARTIES ET ACCESSOIRES DE CES INSTRUMENTS OU APPAREILS: Appareils photographiques; appareils et dispositifs, y compris les lampes et tubes, pour la production de la lumière-éclair en photographie, à l'exclusion des lampes et tubes à décharge du no 8539: autres appareils photographiques: autres, pour pellicules en rouleaux d'une largeur de 35 mm: Appareils photographiques jetables</t>
  </si>
  <si>
    <t>CHAPITRE 90 - INSTRUMENTS ET APPAREILS D'OPTIQUE, DE PHOTOGRAPHIE OU DE CINÉMATOGRAPHIE, DE MESURE, DE CONTRÔLE OU DE PRÉCISION; INSTRUMENTS ET APPAREILS MÉDICO-CHIRURGICAUX; PARTIES ET ACCESSOIRES DE CES INSTRUMENTS OU APPAREILS: Appareils photographiques; appareils et dispositifs, y compris les lampes et tubes, pour la production de la lumière-éclair en photographie, à l'exclusion des lampes et tubes à décharge du no 8539: autres appareils photographiques: pour pellicules en rouleaux d’une largeur de 35 mm: autres</t>
  </si>
  <si>
    <t>CHAPITRE 90 - INSTRUMENTS ET APPAREILS D'OPTIQUE, DE PHOTOGRAPHIE OU DE CINÉMATOGRAPHIE, DE MESURE, DE CONTRÔLE OU DE PRÉCISION; INSTRUMENTS ET APPAREILS MÉDICO-CHIRURGICAUX; PARTIES ET ACCESSOIRES DE CES INSTRUMENTS OU APPAREILS: Appareils photographiques; appareils et dispositifs, y compris les lampes et tubes, pour la production de la lumière-éclair en photographie, à l'exclusion des lampes et tubes à décharge du no 8539: autres appareils photographiques: autres, pour pellicules en rouleaux d'une largeur de 35 mm: autres</t>
  </si>
  <si>
    <t>Lunettes pour machines, appareils ou instruments du présent chapitre ou de la section XVI</t>
  </si>
  <si>
    <t>CHAPITRE 90 - INSTRUMENTS ET APPAREILS D'OPTIQUE, DE PHOTOGRAPHIE OU DE CINÉMATOGRAPHIE, DE MESURE, DE CONTRÔLE OU DE PRÉCISION; INSTRUMENTS ET APPAREILS MÉDICO-CHIRURGICAUX; PARTIES ET ACCESSOIRES DE CES INSTRUMENTS OU APPAREILS: Lasers, autres que les diodes laser; autres appareils et instruments d’optique, non dénommés ni compris ailleurs dans le présent chapitre: Lunettes de visée pour armes; périscopes; lunettes pour machines, appareils ou instruments du présent chapitre ou de la section XVI: Lunettes pour machines, appareils ou instruments du présent chapitre ou de la section XVI</t>
  </si>
  <si>
    <t>CHAPITRE 90 - INSTRUMENTS ET APPAREILS D'OPTIQUE, DE PHOTOGRAPHIE OU DE CINÉMATOGRAPHIE, DE MESURE, DE CONTRÔLE OU DE PRÉCISION; INSTRUMENTS ET APPAREILS MÉDICO-CHIRURGICAUX; PARTIES ET ACCESSOIRES DE CES INSTRUMENTS OU APPAREILS: Dispositifs à cristaux liquides ne constituant pas des articles repris plus spécifiquement ailleurs; lasers, autres que les diodes laser; autres appareils et instruments d'optique, non dénommés ni compris ailleurs dans le présent chapitre: Lunettes de visée pour armes; périscopes; lunettes pour machines, appareils ou instruments du présent chapitre ou de la section XVI: Lunettes pour machines, appareils ou instruments du présent chapitre ou de la section XVI</t>
  </si>
  <si>
    <t>CHAPITRE 90 - INSTRUMENTS ET APPAREILS D'OPTIQUE, DE PHOTOGRAPHIE OU DE CINÉMATOGRAPHIE, DE MESURE, DE CONTRÔLE OU DE PRÉCISION; INSTRUMENTS ET APPAREILS MÉDICO-CHIRURGICAUX; PARTIES ET ACCESSOIRES DE CES INSTRUMENTS OU APPAREILS: Lasers, autres que les diodes laser; autres appareils et instruments d’optique, non dénommés ni compris ailleurs dans le présent chapitre: Lunettes de visée pour armes; périscopes; lunettes pour machines, appareils ou instruments du présent chapitre ou de la section XVI: autres</t>
  </si>
  <si>
    <t>CHAPITRE 90 - INSTRUMENTS ET APPAREILS D'OPTIQUE, DE PHOTOGRAPHIE OU DE CINÉMATOGRAPHIE, DE MESURE, DE CONTRÔLE OU DE PRÉCISION; INSTRUMENTS ET APPAREILS MÉDICO-CHIRURGICAUX; PARTIES ET ACCESSOIRES DE CES INSTRUMENTS OU APPAREILS: Dispositifs à cristaux liquides ne constituant pas des articles repris plus spécifiquement ailleurs; lasers, autres que les diodes laser; autres appareils et instruments d'optique, non dénommés ni compris ailleurs dans le présent chapitre: Lunettes de visée pour armes; périscopes; lunettes pour machines, appareils ou instruments du présent chapitre ou de la section XVI: autres</t>
  </si>
  <si>
    <t>Lasers, autres que les diodes laser</t>
  </si>
  <si>
    <t>CHAPITRE 90 - INSTRUMENTS ET APPAREILS D'OPTIQUE, DE PHOTOGRAPHIE OU DE CINÉMATOGRAPHIE, DE MESURE, DE CONTRÔLE OU DE PRÉCISION; INSTRUMENTS ET APPAREILS MÉDICO-CHIRURGICAUX; PARTIES ET ACCESSOIRES DE CES INSTRUMENTS OU APPAREILS: Lasers, autres que les diodes laser; autres appareils et instruments d’optique, non dénommés ni compris ailleurs dans le présent chapitre: Lasers, autres que les diodes laser</t>
  </si>
  <si>
    <t>CHAPITRE 90 - INSTRUMENTS ET APPAREILS D'OPTIQUE, DE PHOTOGRAPHIE OU DE CINÉMATOGRAPHIE, DE MESURE, DE CONTRÔLE OU DE PRÉCISION; INSTRUMENTS ET APPAREILS MÉDICO-CHIRURGICAUX; PARTIES ET ACCESSOIRES DE CES INSTRUMENTS OU APPAREILS: Dispositifs à cristaux liquides ne constituant pas des articles repris plus spécifiquement ailleurs; lasers, autres que les diodes laser; autres appareils et instruments d'optique, non dénommés ni compris ailleurs dans le présent chapitre: Lasers, autres que les diodes laser</t>
  </si>
  <si>
    <t>de lunettes de visée pour armes et de périscopes</t>
  </si>
  <si>
    <t>CHAPITRE 90 - INSTRUMENTS ET APPAREILS D'OPTIQUE, DE PHOTOGRAPHIE OU DE CINÉMATOGRAPHIE, DE MESURE, DE CONTRÔLE OU DE PRÉCISION; INSTRUMENTS ET APPAREILS MÉDICO-CHIRURGICAUX; PARTIES ET ACCESSOIRES DE CES INSTRUMENTS OU APPAREILS: Lasers, autres que les diodes laser; autres appareils et instruments d’optique, non dénommés ni compris ailleurs dans le présent chapitre: Parties et accessoires: de lunettes de visée pour armes et de périscopes</t>
  </si>
  <si>
    <t>CHAPITRE 90 - INSTRUMENTS ET APPAREILS D'OPTIQUE, DE PHOTOGRAPHIE OU DE CINÉMATOGRAPHIE, DE MESURE, DE CONTRÔLE OU DE PRÉCISION; INSTRUMENTS ET APPAREILS MÉDICO-CHIRURGICAUX; PARTIES ET ACCESSOIRES DE CES INSTRUMENTS OU APPAREILS: Dispositifs à cristaux liquides ne constituant pas des articles repris plus spécifiquement ailleurs; lasers, autres que les diodes laser; autres appareils et instruments d'optique, non dénommés ni compris ailleurs dans le présent chapitre: Parties et accessoires: de lunettes de visée pour armes et de périscopes</t>
  </si>
  <si>
    <t>CHAPITRE 90 - INSTRUMENTS ET APPAREILS D'OPTIQUE, DE PHOTOGRAPHIE OU DE CINÉMATOGRAPHIE, DE MESURE, DE CONTRÔLE OU DE PRÉCISION; INSTRUMENTS ET APPAREILS MÉDICO-CHIRURGICAUX; PARTIES ET ACCESSOIRES DE CES INSTRUMENTS OU APPAREILS: Lasers, autres que les diodes laser; autres appareils et instruments d’optique, non dénommés ni compris ailleurs dans le présent chapitre: Parties et accessoires: autres</t>
  </si>
  <si>
    <t>CHAPITRE 90 - INSTRUMENTS ET APPAREILS D'OPTIQUE, DE PHOTOGRAPHIE OU DE CINÉMATOGRAPHIE, DE MESURE, DE CONTRÔLE OU DE PRÉCISION; INSTRUMENTS ET APPAREILS MÉDICO-CHIRURGICAUX; PARTIES ET ACCESSOIRES DE CES INSTRUMENTS OU APPAREILS: Dispositifs à cristaux liquides ne constituant pas des articles repris plus spécifiquement ailleurs; lasers, autres que les diodes laser; autres appareils et instruments d'optique, non dénommés ni compris ailleurs dans le présent chapitre: Parties et accessoires: autres</t>
  </si>
  <si>
    <t>Appareils de tomographie pilotés par une machine automatique de traitement de l'information</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</si>
  <si>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gamma ou d’autres radiations ionisantes,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Appareils à rayons X, même à usage médical, chirurgical, dentaire ou vétérinaire, y compris les appareils de radiophotographie ou de radiothérapie: Appareils de tomographie pilotés par une machine automatique de traitement de l'information</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</si>
  <si>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ou gamma,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Appareils à rayons X, même à usage médical, chirurgical, dentaire ou vétérinaire, y compris les appareils de radiophotographie ou de radiothérapie: Appareils de tomographie pilotés par une machine automatique de traitement de l'information</t>
  </si>
  <si>
    <t>autres, pour l'art dentaire</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</si>
  <si>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gamma ou d’autres radiations ionisantes,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Appareils à rayons X, même à usage médical, chirurgical, dentaire ou vétérinaire, y compris les appareils de radiophotographie ou de radiothérapie: autres, pour l'art dentaire</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</si>
  <si>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ou gamma,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Appareils à rayons X, même à usage médical, chirurgical, dentaire ou vétérinaire, y compris les appareils de radiophotographie ou de radiothérapie: autres, pour l'art dentaire</t>
  </si>
  <si>
    <t>autres, pour usages médicaux, chirurgicaux ou vétérinaires</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</si>
  <si>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gamma ou d’autres radiations ionisantes,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Appareils à rayons X, même à usage médical, chirurgical, dentaire ou vétérinaire, y compris les appareils de radiophotographie ou de radiothérapie: autres, pour usages médicaux, chirurgicaux ou vétérinaires</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</si>
  <si>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ou gamma,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Appareils à rayons X, même à usage médical, chirurgical, dentaire ou vétérinaire, y compris les appareils de radiophotographie ou de radiothérapie: autres, pour usages médicaux, chirurgicaux ou vétérinaires</t>
  </si>
  <si>
    <t>pour autres usages</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</si>
  <si>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gamma ou d’autres radiations ionisantes,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Appareils à rayons X, même à usage médical, chirurgical, dentaire ou vétérinaire, y compris les appareils de radiophotographie ou de radiothérapie: pour autres usages</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</si>
  <si>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ou gamma,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Appareils à rayons X, même à usage médical, chirurgical, dentaire ou vétérinaire, y compris les appareils de radiophotographie ou de radiothérapie: pour autres usages</t>
  </si>
  <si>
    <t>à usage médical, chirurgical, dentaire ou vétérinaire</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</si>
  <si>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gamma ou d’autres radiations ionisantes,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Appareils utilisant les radiations alpha, bêta gamma ou d’autres radiations ionisantes, même à usage médical, chirurgical, dentaire ou vétérinaire, y compris les appareils de radiophotographie ou de radiothérapie: à usage médical, chirurgical, dentaire ou vétérinaire</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</si>
  <si>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ou gamma,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Appareils utilisant les radiations alpha, bêta ou gamma, même à usage médical, chirurgical, dentaire ou vétérinaire, y compris les appareils de radiophotographie ou de radiothérapie: à usage médical, chirurgical, dentaire ou vétérinaire</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</si>
  <si>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gamma ou d’autres radiations ionisantes,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Appareils utilisant les radiations alpha, bêta gamma ou d’autres radiations ionisantes, même à usage médical, chirurgical, dentaire ou vétérinaire, y compris les appareils de radiophotographie ou de radiothérapie: pour autres usages</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</si>
  <si>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ou gamma,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Appareils utilisant les radiations alpha, bêta ou gamma, même à usage médical, chirurgical, dentaire ou vétérinaire, y compris les appareils de radiophotographie ou de radiothérapie: pour autres usages</t>
  </si>
  <si>
    <t>Tubes à rayons X</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</si>
  <si>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gamma ou d’autres radiations ionisantes,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Tubes à rayons X</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</si>
  <si>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ou gamma,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Tubes à rayons X</t>
  </si>
  <si>
    <t>parties et accessoires d’appareils à rayons X</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</si>
  <si>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gamma ou d’autres radiations ionisantes,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autres, y compris les parties et accessoires: parties et accessoires d’appareils à rayons X</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</si>
  <si>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ou gamma,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autres, y compris les parties et accessoires: parties et accessoires d’appareils à rayons X</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</si>
  <si>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gamma ou d’autres radiations ionisantes,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autres, y compris les parties et accessoires: autres</t>
  </si>
  <si>
    <t>CHAPITRE 90 - INSTRUMENTS ET APPAREILS D'OPTIQUE, DE PHOTOGRAPHIE OU DE CINÉMATOGRAPHIE, DE MESURE, DE CONTRÔLE OU DE PRÉCISION; INSTRUMENTS ET APPAREILS MÉDICO-CHIRURGICAUX; PARTIES ET ACCESSOIRES DE CES INSTRUMENTS OU APPAREILS: Appareils à rayons X et appareils utilisant les radiations alpha, bêta ou gamma, même à usage médical, chirurgical, dentaire ou vétérinaire, y compris les appareils de radiophotographie ou de radiothérapie, les tubes à rayons X et autres dispositifs générateurs de rayons X, les générateurs de tension, les pupitres de commande, les écrans, les tables, fauteuils et supports similaires d'examen ou de traitement: autres, y compris les parties et accessoires: autres</t>
  </si>
  <si>
    <t>Multimètres, sans dispositif enregistreur</t>
  </si>
  <si>
    <t>CHAPITRE 90 - INSTRUMENTS ET APPAREILS D'OPTIQUE, DE PHOTOGRAPHIE OU DE CINÉMATOGRAPHIE, DE MESURE, DE CONTRÔLE OU DE PRÉCISION; INSTRUMENTS ET APPAREILS MÉDICO-CHIRURGICAUX; PARTIES ET ACCESSOIRES DE CES INSTRUMENTS OU APPAREILS: Oscilloscopes, analyseurs de spectre et autres instruments et appareils pour la mesure ou le contrôle de grandeurs électriques; instruments et appareils pour la mesure ou la détection des radiations alpha, bêta, gamma, X, cosmiques ou autres radiations ionisantes: autres instruments et appareils pour la mesure ou le contrôle de la tension, de l’intensité, de la résistance ou de la puissance (autres que ceux pour la mesure ou le contrôle des disques ou des dispositifs à semi-conducteur): Multimètres, sans dispositif enregistreur</t>
  </si>
  <si>
    <t>CHAPITRE 90 - INSTRUMENTS ET APPAREILS D'OPTIQUE, DE PHOTOGRAPHIE OU DE CINÉMATOGRAPHIE, DE MESURE, DE CONTRÔLE OU DE PRÉCISION; INSTRUMENTS ET APPAREILS MÉDICO-CHIRURGICAUX; PARTIES ET ACCESSOIRES DE CES INSTRUMENTS OU APPAREILS: Oscilloscopes, analyseurs de spectre et autres instruments et appareils pour la mesure ou le contrôle de grandeurs électriques; instruments et appareils pour la mesure ou la détection des radiations alpha, bêta, gamma, X, cosmiques ou autres radiations ionisantes: autres instruments et appareils pour la mesure ou le contrôle de la tension, de l’intensité, de la résistance ou de la puissance: Multimètres, sans dispositif enregistreur</t>
  </si>
  <si>
    <t>Multimètres, avec dispositif enregistreur</t>
  </si>
  <si>
    <t>CHAPITRE 90 - INSTRUMENTS ET APPAREILS D'OPTIQUE, DE PHOTOGRAPHIE OU DE CINÉMATOGRAPHIE, DE MESURE, DE CONTRÔLE OU DE PRÉCISION; INSTRUMENTS ET APPAREILS MÉDICO-CHIRURGICAUX; PARTIES ET ACCESSOIRES DE CES INSTRUMENTS OU APPAREILS: Oscilloscopes, analyseurs de spectre et autres instruments et appareils pour la mesure ou le contrôle de grandeurs électriques; instruments et appareils pour la mesure ou la détection des radiations alpha, bêta, gamma, X, cosmiques ou autres radiations ionisantes: autres instruments et appareils pour la mesure ou le contrôle de la tension, de l’intensité, de la résistance ou de la puissance (autres que ceux pour la mesure ou le contrôle des disques ou des dispositifs à semi-conducteur): Multimètres, avec dispositif enregistreur</t>
  </si>
  <si>
    <t>CHAPITRE 90 - INSTRUMENTS ET APPAREILS D'OPTIQUE, DE PHOTOGRAPHIE OU DE CINÉMATOGRAPHIE, DE MESURE, DE CONTRÔLE OU DE PRÉCISION; INSTRUMENTS ET APPAREILS MÉDICO-CHIRURGICAUX; PARTIES ET ACCESSOIRES DE CES INSTRUMENTS OU APPAREILS: Oscilloscopes, analyseurs de spectre et autres instruments et appareils pour la mesure ou le contrôle de grandeurs électriques; instruments et appareils pour la mesure ou la détection des radiations alpha, bêta, gamma, X, cosmiques ou autres radiations ionisantes: autres instruments et appareils pour la mesure ou le contrôle de la tension, de l’intensité, de la résistance ou de la puissance: Multimètres, avec dispositif enregistreur</t>
  </si>
  <si>
    <t>instruments pour la mesure de la résistance</t>
  </si>
  <si>
    <t>CHAPITRE 90 - INSTRUMENTS ET APPAREILS D'OPTIQUE, DE PHOTOGRAPHIE OU DE CINÉMATOGRAPHIE, DE MESURE, DE CONTRÔLE OU DE PRÉCISION; INSTRUMENTS ET APPAREILS MÉDICO-CHIRURGICAUX; PARTIES ET ACCESSOIRES DE CES INSTRUMENTS OU APPAREILS: Oscilloscopes, analyseurs de spectre et autres instruments et appareils pour la mesure ou le contrôle de grandeurs électriques; instruments et appareils pour la mesure ou la détection des radiations alpha, bêta, gamma, X, cosmiques ou autres radiations ionisantes: autres instruments et appareils pour la mesure ou le contrôle de la tension, de l’intensité, de la résistance ou de la puissance (autres que ceux pour la mesure ou le contrôle des disques ou des dispositifs à semi-conducteur): autres, sans dispositif enregistreur: instruments pour la mesure de la résistance</t>
  </si>
  <si>
    <t>CHAPITRE 90 - INSTRUMENTS ET APPAREILS D'OPTIQUE, DE PHOTOGRAPHIE OU DE CINÉMATOGRAPHIE, DE MESURE, DE CONTRÔLE OU DE PRÉCISION; INSTRUMENTS ET APPAREILS MÉDICO-CHIRURGICAUX; PARTIES ET ACCESSOIRES DE CES INSTRUMENTS OU APPAREILS: Oscilloscopes, analyseurs de spectre et autres instruments et appareils pour la mesure ou le contrôle de grandeurs électriques; instruments et appareils pour la mesure ou la détection des radiations alpha, bêta, gamma, X, cosmiques ou autres radiations ionisantes: autres instruments et appareils pour la mesure ou le contrôle de la tension, de l’intensité, de la résistance ou de la puissance: autres, sans dispositif enregistreur: instruments pour la mesure de la résistance</t>
  </si>
  <si>
    <t>CHAPITRE 90 - INSTRUMENTS ET APPAREILS D'OPTIQUE, DE PHOTOGRAPHIE OU DE CINÉMATOGRAPHIE, DE MESURE, DE CONTRÔLE OU DE PRÉCISION; INSTRUMENTS ET APPAREILS MÉDICO-CHIRURGICAUX; PARTIES ET ACCESSOIRES DE CES INSTRUMENTS OU APPAREILS: Oscilloscopes, analyseurs de spectre et autres instruments et appareils pour la mesure ou le contrôle de grandeurs électriques; instruments et appareils pour la mesure ou la détection des radiations alpha, bêta, gamma, X, cosmiques ou autres radiations ionisantes: autres instruments et appareils pour la mesure ou le contrôle de la tension, de l’intensité, de la résistance ou de la puissance (autres que ceux pour la mesure ou le contrôle des disques ou des dispositifs à semi-conducteur): autres, sans dispositif enregistreur: autres</t>
  </si>
  <si>
    <t>CHAPITRE 90 - INSTRUMENTS ET APPAREILS D'OPTIQUE, DE PHOTOGRAPHIE OU DE CINÉMATOGRAPHIE, DE MESURE, DE CONTRÔLE OU DE PRÉCISION; INSTRUMENTS ET APPAREILS MÉDICO-CHIRURGICAUX; PARTIES ET ACCESSOIRES DE CES INSTRUMENTS OU APPAREILS: Oscilloscopes, analyseurs de spectre et autres instruments et appareils pour la mesure ou le contrôle de grandeurs électriques; instruments et appareils pour la mesure ou la détection des radiations alpha, bêta, gamma, X, cosmiques ou autres radiations ionisantes: autres instruments et appareils pour la mesure ou le contrôle de la tension, de l’intensité, de la résistance ou de la puissance: autres, sans dispositif enregistreur: autres</t>
  </si>
  <si>
    <t>autres, avec dispositif enregistreur</t>
  </si>
  <si>
    <t>CHAPITRE 90 - INSTRUMENTS ET APPAREILS D'OPTIQUE, DE PHOTOGRAPHIE OU DE CINÉMATOGRAPHIE, DE MESURE, DE CONTRÔLE OU DE PRÉCISION; INSTRUMENTS ET APPAREILS MÉDICO-CHIRURGICAUX; PARTIES ET ACCESSOIRES DE CES INSTRUMENTS OU APPAREILS: Oscilloscopes, analyseurs de spectre et autres instruments et appareils pour la mesure ou le contrôle de grandeurs électriques; instruments et appareils pour la mesure ou la détection des radiations alpha, bêta, gamma, X, cosmiques ou autres radiations ionisantes: autres instruments et appareils pour la mesure ou le contrôle de la tension, de l’intensité, de la résistance ou de la puissance (autres que ceux pour la mesure ou le contrôle des disques ou des dispositifs à semi-conducteur): autres, avec dispositif enregistreur</t>
  </si>
  <si>
    <t>CHAPITRE 90 - INSTRUMENTS ET APPAREILS D'OPTIQUE, DE PHOTOGRAPHIE OU DE CINÉMATOGRAPHIE, DE MESURE, DE CONTRÔLE OU DE PRÉCISION; INSTRUMENTS ET APPAREILS MÉDICO-CHIRURGICAUX; PARTIES ET ACCESSOIRES DE CES INSTRUMENTS OU APPAREILS: Oscilloscopes, analyseurs de spectre et autres instruments et appareils pour la mesure ou le contrôle de grandeurs électriques; instruments et appareils pour la mesure ou la détection des radiations alpha, bêta, gamma, X, cosmiques ou autres radiations ionisantes: autres instruments et appareils pour la mesure ou le contrôle de la tension, de l’intensité, de la résistance ou de la puissance: autres, avec dispositif enregistreur</t>
  </si>
  <si>
    <t>pour la mesure ou le contrôle des disques ou des dispositifs à semi-conducteur (y compris les circuits intégrés)</t>
  </si>
  <si>
    <t>pour la mesure ou le contrôle des disques ou des dispositifs à semi-conducteur</t>
  </si>
  <si>
    <t>CHAPITRE 90 - INSTRUMENTS ET APPAREILS D'OPTIQUE, DE PHOTOGRAPHIE OU DE CINÉMATOGRAPHIE, DE MESURE, DE CONTRÔLE OU DE PRÉCISION; INSTRUMENTS ET APPAREILS MÉDICO-CHIRURGICAUX; PARTIES ET ACCESSOIRES DE CES INSTRUMENTS OU APPAREILS: Oscilloscopes, analyseurs de spectre et autres instruments et appareils pour la mesure ou le contrôle de grandeurs électriques; instruments et appareils pour la mesure ou la détection des radiations alpha, bêta, gamma, X, cosmiques ou autres radiations ionisantes: autres instruments et appareils: pour la mesure ou le contrôle des disques ou des dispositifs à semi-conducteur (y compris les circuits intégrés)</t>
  </si>
  <si>
    <t>CHAPITRE 90 - INSTRUMENTS ET APPAREILS D'OPTIQUE, DE PHOTOGRAPHIE OU DE CINÉMATOGRAPHIE, DE MESURE, DE CONTRÔLE OU DE PRÉCISION; INSTRUMENTS ET APPAREILS MÉDICO-CHIRURGICAUX; PARTIES ET ACCESSOIRES DE CES INSTRUMENTS OU APPAREILS: Oscilloscopes, analyseurs de spectre et autres instruments et appareils pour la mesure ou le contrôle de grandeurs électriques; instruments et appareils pour la mesure ou la détection des radiations alpha, bêta, gamma, X, cosmiques ou autres radiations ionisantes: autres instruments et appareils: pour la mesure ou le contrôle des disques ou des dispositifs à semi-conducteur</t>
  </si>
  <si>
    <t>pour le contrôle des disques ou des dispositifs à semi-conducteur (y compris les circuits intégrés) ou pour le contrôle des masques photographiques ou des réticules utilisés dans la fabrication de dispositifs à semi-conducteur (y compris les circuits intégrés)</t>
  </si>
  <si>
    <t>pour le contrôle des disques ou des dispositifs à semi-conducteur ou pour le contrôle des masques ou des réticules utilisés dans la fabrication des dispositifs à semi-conducteur</t>
  </si>
  <si>
    <t>CHAPITRE 90 - INSTRUMENTS ET APPAREILS D'OPTIQUE, DE PHOTOGRAPHIE OU DE CINÉMATOGRAPHIE, DE MESURE, DE CONTRÔLE OU DE PRÉCISION; INSTRUMENTS ET APPAREILS MÉDICO-CHIRURGICAUX; PARTIES ET ACCESSOIRES DE CES INSTRUMENTS OU APPAREILS: Instruments, appareils et machines de mesure ou de contrôle, non dénommés ni compris ailleurs dans le présent chapitre; projecteurs de profils: autres instruments et appareils optiques: pour le contrôle des disques ou des dispositifs à semi-conducteur (y compris les circuits intégrés) ou pour le contrôle des masques photographiques ou des réticules utilisés dans la fabrication de dispositifs à semi-conducteur (y compris les circuits intégrés)</t>
  </si>
  <si>
    <t>CHAPITRE 90 - INSTRUMENTS ET APPAREILS D'OPTIQUE, DE PHOTOGRAPHIE OU DE CINÉMATOGRAPHIE, DE MESURE, DE CONTRÔLE OU DE PRÉCISION; INSTRUMENTS ET APPAREILS MÉDICO-CHIRURGICAUX; PARTIES ET ACCESSOIRES DE CES INSTRUMENTS OU APPAREILS: Instruments, appareils et machines de mesure ou de contrôle, non dénommés ni compris ailleurs dans le présent chapitre; projecteurs de profils: autres instruments et appareils optiques: pour le contrôle des disques ou des dispositifs à semi-conducteur ou pour le contrôle des masques ou des réticules utilisés dans la fabrication des dispositifs à semi-conducteur</t>
  </si>
  <si>
    <t>Sièges des types utilisés pour véhicules aériens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</si>
  <si>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Sièges (à l'exclusion de ceux du no 9402), même transformables en lits, et leurs parties: Sièges des types utilisés pour véhicules aériens</t>
  </si>
  <si>
    <t>CHAPITRE 94 - MEUBLES; MOBILIER MÉDICO-CHIRURGICAL; ARTICLES DE LITERIE ET SIMILAIRES; APPAREILS D'ÉCLAIRAGE NON DÉNOMMÉS NI COMPRIS AILLEURS; LAMPES-RÉCLAMES, ENSEIGNES LUMINEUSES, PLAQUES INDICATRICES LUMINEUSES ET ARTICLES SIMILAIRES; CONSTRUCTIONS PRÉFABRIQUÉES: Sièges (à l'exclusion de ceux du no 9402), même transformables en lits, et leurs parties: Sièges des types utilisés pour véhicules aériens</t>
  </si>
  <si>
    <t>Sièges des types utilisés pour véhicules automobiles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</si>
  <si>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Sièges (à l'exclusion de ceux du no 9402), même transformables en lits, et leurs parties: Sièges des types utilisés pour véhicules automobiles</t>
  </si>
  <si>
    <t>CHAPITRE 94 - MEUBLES; MOBILIER MÉDICO-CHIRURGICAL; ARTICLES DE LITERIE ET SIMILAIRES; APPAREILS D'ÉCLAIRAGE NON DÉNOMMÉS NI COMPRIS AILLEURS; LAMPES-RÉCLAMES, ENSEIGNES LUMINEUSES, PLAQUES INDICATRICES LUMINEUSES ET ARTICLES SIMILAIRES; CONSTRUCTIONS PRÉFABRIQUÉES: Sièges (à l'exclusion de ceux du no 9402), même transformables en lits, et leurs parties: Sièges des types utilisés pour véhicules automobiles</t>
  </si>
  <si>
    <t>en bambou</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</si>
  <si>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Sièges (à l'exclusion de ceux du no 9402), même transformables en lits, et leurs parties: Sièges en rotin, en osier, en bambou ou en matières similaires: en bambou</t>
  </si>
  <si>
    <t>CHAPITRE 94 - MEUBLES; MOBILIER MÉDICO-CHIRURGICAL; ARTICLES DE LITERIE ET SIMILAIRES; APPAREILS D'ÉCLAIRAGE NON DÉNOMMÉS NI COMPRIS AILLEURS; LAMPES-RÉCLAMES, ENSEIGNES LUMINEUSES, PLAQUES INDICATRICES LUMINEUSES ET ARTICLES SIMILAIRES; CONSTRUCTIONS PRÉFABRIQUÉES: Sièges (à l'exclusion de ceux du no 9402), même transformables en lits, et leurs parties: Sièges en rotin, en osier, en bambou ou en matières similaires: en bambou</t>
  </si>
  <si>
    <t>en rotin</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</si>
  <si>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Sièges (à l'exclusion de ceux du no 9402), même transformables en lits, et leurs parties: Sièges en rotin, en osier, en bambou ou en matières similaires: en rotin</t>
  </si>
  <si>
    <t>CHAPITRE 94 - MEUBLES; MOBILIER MÉDICO-CHIRURGICAL; ARTICLES DE LITERIE ET SIMILAIRES; APPAREILS D'ÉCLAIRAGE NON DÉNOMMÉS NI COMPRIS AILLEURS; LAMPES-RÉCLAMES, ENSEIGNES LUMINEUSES, PLAQUES INDICATRICES LUMINEUSES ET ARTICLES SIMILAIRES; CONSTRUCTIONS PRÉFABRIQUÉES: Sièges (à l'exclusion de ceux du no 9402), même transformables en lits, et leurs parties: Sièges en rotin, en osier, en bambou ou en matières similaires: en rotin</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</si>
  <si>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Sièges (à l'exclusion de ceux du no 9402), même transformables en lits, et leurs parties: Sièges en rotin, en osier, en bambou ou en matières similaires: autres</t>
  </si>
  <si>
    <t>CHAPITRE 94 - MEUBLES; MOBILIER MÉDICO-CHIRURGICAL; ARTICLES DE LITERIE ET SIMILAIRES; APPAREILS D'ÉCLAIRAGE NON DÉNOMMÉS NI COMPRIS AILLEURS; LAMPES-RÉCLAMES, ENSEIGNES LUMINEUSES, PLAQUES INDICATRICES LUMINEUSES ET ARTICLES SIMILAIRES; CONSTRUCTIONS PRÉFABRIQUÉES: Sièges (à l'exclusion de ceux du no 9402), même transformables en lits, et leurs parties: Sièges en rotin, en osier, en bambou ou en matières similaires: autres</t>
  </si>
  <si>
    <t>rembourrés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</si>
  <si>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Sièges (à l'exclusion de ceux du no 9402), même transformables en lits, et leurs parties: autres sièges, avec bâti en bois: rembourrés</t>
  </si>
  <si>
    <t>CHAPITRE 94 - MEUBLES; MOBILIER MÉDICO-CHIRURGICAL; ARTICLES DE LITERIE ET SIMILAIRES; APPAREILS D'ÉCLAIRAGE NON DÉNOMMÉS NI COMPRIS AILLEURS; LAMPES-RÉCLAMES, ENSEIGNES LUMINEUSES, PLAQUES INDICATRICES LUMINEUSES ET ARTICLES SIMILAIRES; CONSTRUCTIONS PRÉFABRIQUÉES: Sièges (à l'exclusion de ceux du no 9402), même transformables en lits, et leurs parties: autres sièges, avec bâti en bois: rembourrés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</si>
  <si>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Sièges (à l'exclusion de ceux du no 9402), même transformables en lits, et leurs parties: autres sièges, avec bâti en bois: autres</t>
  </si>
  <si>
    <t>CHAPITRE 94 - MEUBLES; MOBILIER MÉDICO-CHIRURGICAL; ARTICLES DE LITERIE ET SIMILAIRES; APPAREILS D'ÉCLAIRAGE NON DÉNOMMÉS NI COMPRIS AILLEURS; LAMPES-RÉCLAMES, ENSEIGNES LUMINEUSES, PLAQUES INDICATRICES LUMINEUSES ET ARTICLES SIMILAIRES; CONSTRUCTIONS PRÉFABRIQUÉES: Sièges (à l'exclusion de ceux du no 9402), même transformables en lits, et leurs parties: autres sièges, avec bâti en bois: autres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</si>
  <si>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Sièges (à l'exclusion de ceux du no 9402), même transformables en lits, et leurs parties: autres sièges, avec bâti en métal: rembourrés</t>
  </si>
  <si>
    <t>CHAPITRE 94 - MEUBLES; MOBILIER MÉDICO-CHIRURGICAL; ARTICLES DE LITERIE ET SIMILAIRES; APPAREILS D'ÉCLAIRAGE NON DÉNOMMÉS NI COMPRIS AILLEURS; LAMPES-RÉCLAMES, ENSEIGNES LUMINEUSES, PLAQUES INDICATRICES LUMINEUSES ET ARTICLES SIMILAIRES; CONSTRUCTIONS PRÉFABRIQUÉES: Sièges (à l'exclusion de ceux du no 9402), même transformables en lits, et leurs parties: autres sièges, avec bâti en métal: rembourrés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</si>
  <si>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Sièges (à l'exclusion de ceux du no 9402), même transformables en lits, et leurs parties: autres sièges, avec bâti en métal: autres</t>
  </si>
  <si>
    <t>CHAPITRE 94 - MEUBLES; MOBILIER MÉDICO-CHIRURGICAL; ARTICLES DE LITERIE ET SIMILAIRES; APPAREILS D'ÉCLAIRAGE NON DÉNOMMÉS NI COMPRIS AILLEURS; LAMPES-RÉCLAMES, ENSEIGNES LUMINEUSES, PLAQUES INDICATRICES LUMINEUSES ET ARTICLES SIMILAIRES; CONSTRUCTIONS PRÉFABRIQUÉES: Sièges (à l'exclusion de ceux du no 9402), même transformables en lits, et leurs parties: autres sièges, avec bâti en métal: autres</t>
  </si>
  <si>
    <t>autres sièges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</si>
  <si>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Sièges (à l'exclusion de ceux du no 9402), même transformables en lits, et leurs parties: autres sièges</t>
  </si>
  <si>
    <t>CHAPITRE 94 - MEUBLES; MOBILIER MÉDICO-CHIRURGICAL; ARTICLES DE LITERIE ET SIMILAIRES; APPAREILS D'ÉCLAIRAGE NON DÉNOMMÉS NI COMPRIS AILLEURS; LAMPES-RÉCLAMES, ENSEIGNES LUMINEUSES, PLAQUES INDICATRICES LUMINEUSES ET ARTICLES SIMILAIRES; CONSTRUCTIONS PRÉFABRIQUÉES: Sièges (à l'exclusion de ceux du no 9402), même transformables en lits, et leurs parties: autres sièges</t>
  </si>
  <si>
    <t>Fauteuils de dentistes, fauteuils pour salons de coiffure et fauteuils similaires, et leurs parties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</si>
  <si>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Mobilier pour la médecine, la chirurgie, l'art dentaire ou l'art vétérinaire (tables d'opérations, tables d'examen, lits à mécanisme pour usages cliniques, fauteuils de dentistes, par exemple); fauteuils pour salons de coiffure et fauteuils similaires, avec dispositif à la fois d'orientation et d'élévation; parties de ces articles: Fauteuils de dentistes, fauteuils pour salons de coiffure et fauteuils similaires, et leurs parties</t>
  </si>
  <si>
    <t>CHAPITRE 94 - MEUBLES; MOBILIER MÉDICO-CHIRURGICAL; ARTICLES DE LITERIE ET SIMILAIRES; APPAREILS D'ÉCLAIRAGE NON DÉNOMMÉS NI COMPRIS AILLEURS; LAMPES-RÉCLAMES, ENSEIGNES LUMINEUSES, PLAQUES INDICATRICES LUMINEUSES ET ARTICLES SIMILAIRES; CONSTRUCTIONS PRÉFABRIQUÉES: Mobilier pour la médecine, la chirurgie, l'art dentaire ou l'art vétérinaire (tables d'opérations, tables d'examen, lits à mécanisme pour usages cliniques, fauteuils de dentistes, par exemple); fauteuils pour salons de coiffure et fauteuils similaires, avec dispositif à la fois d'orientation et d'élévation; parties de ces articles: Fauteuils de dentistes, fauteuils pour salons de coiffure et fauteuils similaires, et leurs parties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</si>
  <si>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Mobilier pour la médecine, la chirurgie, l'art dentaire ou l'art vétérinaire (tables d'opérations, tables d'examen, lits à mécanisme pour usages cliniques, fauteuils de dentistes, par exemple); fauteuils pour salons de coiffure et fauteuils similaires, avec dispositif à la fois d'orientation et d'élévation; parties de ces articles: autres</t>
  </si>
  <si>
    <t>CHAPITRE 94 - MEUBLES; MOBILIER MÉDICO-CHIRURGICAL; ARTICLES DE LITERIE ET SIMILAIRES; APPAREILS D'ÉCLAIRAGE NON DÉNOMMÉS NI COMPRIS AILLEURS; LAMPES-RÉCLAMES, ENSEIGNES LUMINEUSES, PLAQUES INDICATRICES LUMINEUSES ET ARTICLES SIMILAIRES; CONSTRUCTIONS PRÉFABRIQUÉES: Mobilier pour la médecine, la chirurgie, l'art dentaire ou l'art vétérinaire (tables d'opérations, tables d'examen, lits à mécanisme pour usages cliniques, fauteuils de dentistes, par exemple); fauteuils pour salons de coiffure et fauteuils similaires, avec dispositif à la fois d'orientation et d'élévation; parties de ces articles: autres</t>
  </si>
  <si>
    <t>Bureaux</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</si>
  <si>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métal des types utilisés dans les bureaux: d'une hauteur n'excédant pas 80 cm: Bureaux</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</si>
  <si>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métal des types utilisés dans les bureaux: d'une hauteur n'excédant pas 80 cm: Bureaux</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</si>
  <si>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métal des types utilisés dans les bureaux: d'une hauteur n'excédant pas 80 cm: autres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</si>
  <si>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métal des types utilisés dans les bureaux: d'une hauteur n'excédant pas 80 cm: autres</t>
  </si>
  <si>
    <t>Armoires à portes, à volets ou à clapets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</si>
  <si>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métal des types utilisés dans les bureaux: d'une hauteur excédant 80 cm: Armoires à portes, à volets ou à clapets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</si>
  <si>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métal des types utilisés dans les bureaux: d'une hauteur excédant 80 cm: Armoires à portes, à volets ou à clapets</t>
  </si>
  <si>
    <t>Armoires à tiroirs, classeurs et fichiers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</si>
  <si>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métal des types utilisés dans les bureaux: d'une hauteur excédant 80 cm: Armoires à tiroirs, classeurs et fichiers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</si>
  <si>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métal des types utilisés dans les bureaux: d'une hauteur excédant 80 cm: Armoires à tiroirs, classeurs et fichiers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</si>
  <si>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métal des types utilisés dans les bureaux: d'une hauteur excédant 80 cm: autres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</si>
  <si>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métal des types utilisés dans les bureaux: d'une hauteur excédant 80 cm: autres</t>
  </si>
  <si>
    <t>Lits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</si>
  <si>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autres meubles en métal: Lits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</si>
  <si>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autres meubles en métal: Lits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</si>
  <si>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autres meubles en métal: autres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</si>
  <si>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autres meubles en métal: autres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</si>
  <si>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bois des types utilisés dans les bureaux: d'une hauteur n'excédant pas 80 cm: Bureaux</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</si>
  <si>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bois des types utilisés dans les bureaux: d'une hauteur n'excédant pas 80 cm: Bureaux</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</si>
  <si>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bois des types utilisés dans les bureaux: d'une hauteur n'excédant pas 80 cm: autres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</si>
  <si>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bois des types utilisés dans les bureaux: d'une hauteur n'excédant pas 80 cm: autres</t>
  </si>
  <si>
    <t>Armoires, classeurs et fichiers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</si>
  <si>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bois des types utilisés dans les bureaux: d'une hauteur excédant 80 cm: Armoires, classeurs et fichiers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</si>
  <si>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bois des types utilisés dans les bureaux: d'une hauteur excédant 80 cm: Armoires, classeurs et fichiers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</si>
  <si>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bois des types utilisés dans les bureaux: d'une hauteur excédant 80 cm: autres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</si>
  <si>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bois des types utilisés dans les bureaux: d'une hauteur excédant 80 cm: autres</t>
  </si>
  <si>
    <t>Éléments de cuisines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</si>
  <si>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bois des types utilisés dans les cuisines: Éléments de cuisines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</si>
  <si>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bois des types utilisés dans les cuisines: Éléments de cuisines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</si>
  <si>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bois des types utilisés dans les cuisines: autres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</si>
  <si>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bois des types utilisés dans les cuisines: autres</t>
  </si>
  <si>
    <t>Meubles en bois des types utilisés dans les chambres à coucher</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</si>
  <si>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bois des types utilisés dans les chambres à coucher</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</si>
  <si>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bois des types utilisés dans les chambres à coucher</t>
  </si>
  <si>
    <t>Meubles en bois des types utilisés dans les salles à manger et de séjour</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</si>
  <si>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autres meubles en bois: Meubles en bois des types utilisés dans les salles à manger et de séjour</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</si>
  <si>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autres meubles en bois: Meubles en bois des types utilisés dans les salles à manger et de séjour</t>
  </si>
  <si>
    <t>Meubles en bois des types utilisés dans les magasins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</si>
  <si>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autres meubles en bois: Meubles en bois des types utilisés dans les magasins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</si>
  <si>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autres meubles en bois: Meubles en bois des types utilisés dans les magasins</t>
  </si>
  <si>
    <t>autres meubles en bois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</si>
  <si>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autres meubles en bois: autres meubles en bois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</si>
  <si>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autres meubles en bois: autres meubles en bois</t>
  </si>
  <si>
    <t>Meubles en matières plastiques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</si>
  <si>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matières plastiques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</si>
  <si>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matières plastiques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</si>
  <si>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autres matières, y compris le rotin, l'osier, le bambou ou les matières similaires: en bambou</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</si>
  <si>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autres matières, y compris le rotin, l'osier, le bambou ou les matières similaires: en bambou</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</si>
  <si>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autres matières, y compris le rotin, l'osier, le bambou ou les matières similaires: en rotin</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</si>
  <si>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autres matières, y compris le rotin, l'osier, le bambou ou les matières similaires: en rotin</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</si>
  <si>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Autres meubles et leurs parties: Meubles en autres matières, y compris le rotin, l'osier, le bambou ou les matières similaires: autres</t>
  </si>
  <si>
    <t>CHAPITRE 94 - MEUBLES; MOBILIER MÉDICO-CHIRURGICAL; ARTICLES DE LITERIE ET SIMILAIRES; APPAREILS D'ÉCLAIRAGE NON DÉNOMMÉS NI COMPRIS AILLEURS; LAMPES-RÉCLAMES, ENSEIGNES LUMINEUSES, PLAQUES INDICATRICES LUMINEUSES ET ARTICLES SIMILAIRES; CONSTRUCTIONS PRÉFABRIQUÉES: Autres meubles et leurs parties: Meubles en autres matières, y compris le rotin, l'osier, le bambou ou les matières similaires: autres</t>
  </si>
  <si>
    <t>Sommiers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</si>
  <si>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Sommiers</t>
  </si>
  <si>
    <t>CHAPITRE 94 - MEUBLES; MOBILIER MÉDICO-CHIRURGICAL; ARTICLES DE LITERIE ET SIMILAIRES;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Sommiers</t>
  </si>
  <si>
    <t>en caoutchouc</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</si>
  <si>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Matelas: en caoutchouc alvéolaire ou en matières plastiques alvéolaires, recouverts ou non: en caoutchouc</t>
  </si>
  <si>
    <t>CHAPITRE 94 - MEUBLES; MOBILIER MÉDICO-CHIRURGICAL; ARTICLES DE LITERIE ET SIMILAIRES;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Matelas: en caoutchouc alvéolaire ou en matières plastiques alvéolaires, recouverts ou non: en caoutchouc</t>
  </si>
  <si>
    <t>en matières plastiques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</si>
  <si>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Matelas: en caoutchouc alvéolaire ou en matières plastiques alvéolaires, recouverts ou non: en matières plastiques</t>
  </si>
  <si>
    <t>CHAPITRE 94 - MEUBLES; MOBILIER MÉDICO-CHIRURGICAL; ARTICLES DE LITERIE ET SIMILAIRES;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Matelas: en caoutchouc alvéolaire ou en matières plastiques alvéolaires, recouverts ou non: en matières plastiques</t>
  </si>
  <si>
    <t>à ressorts métalliques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</si>
  <si>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Matelas: en autres matières: à ressorts métalliques</t>
  </si>
  <si>
    <t>CHAPITRE 94 - MEUBLES; MOBILIER MÉDICO-CHIRURGICAL; ARTICLES DE LITERIE ET SIMILAIRES;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Matelas: en autres matières: à ressorts métalliques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</si>
  <si>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Matelas: en autres matières: autres</t>
  </si>
  <si>
    <t>CHAPITRE 94 - MEUBLES; MOBILIER MÉDICO-CHIRURGICAL; ARTICLES DE LITERIE ET SIMILAIRES;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Matelas: en autres matières: autres</t>
  </si>
  <si>
    <t>Sacs de couchage</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</si>
  <si>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Sacs de couchage</t>
  </si>
  <si>
    <t>CHAPITRE 94 - MEUBLES; MOBILIER MÉDICO-CHIRURGICAL; ARTICLES DE LITERIE ET SIMILAIRES;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Sacs de couchage</t>
  </si>
  <si>
    <t>rembourrés de plumes ou de duvet</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</si>
  <si>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autres: rembourrés de plumes ou de duvet</t>
  </si>
  <si>
    <t>CHAPITRE 94 - MEUBLES; MOBILIER MÉDICO-CHIRURGICAL; ARTICLES DE LITERIE ET SIMILAIRES;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autres: rembourrés de plumes ou de duvet</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</si>
  <si>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autres: autres</t>
  </si>
  <si>
    <t>CHAPITRE 94 - MEUBLES; MOBILIER MÉDICO-CHIRURGICAL; ARTICLES DE LITERIE ET SIMILAIRES; APPAREILS D'ÉCLAIRAGE NON DÉNOMMÉS NI COMPRIS AILLEURS; LAMPES-RÉCLAMES, ENSEIGNES LUMINEUSES, PLAQUES INDICATRICES LUMINEUSES ET ARTICLES SIMILAIRES; CONSTRUCTIONS PRÉFABRIQUÉES: Sommiers; articles de literie et articles similaires (matelas, couvre-pieds, édredons, coussins, poufs, oreillers, par exemple), comportant des ressorts ou bien rembourrés ou garnis intérieurement de toutes matières, y compris ceux en caoutchouc alvéolaire ou en matières plastiques alvéolaires, recouverts ou non: autres: autres</t>
  </si>
  <si>
    <t>Luminaires et appareils d'éclairage non électriques</t>
  </si>
  <si>
    <t>Appareils d'éclairage non électriques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</si>
  <si>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Luminaires et appareils d'éclairage (y compris les projecteurs) et leurs parties, non dénommés ni compris ailleurs; lampes-réclames, enseignes lumineuses, plaques indicatrices lumineuses et articles similaires, possédant une source d'éclairage fixée à demeure, et leurs parties non dénommées ni comprises ailleurs: Luminaires et appareils d'éclairage non électriques</t>
  </si>
  <si>
    <t>CHAPITRE 94 - MEUBLES; MOBILIER MÉDICO-CHIRURGICAL; ARTICLES DE LITERIE ET SIMILAIRES; APPAREILS D'ÉCLAIRAGE NON DÉNOMMÉS NI COMPRIS AILLEURS; LAMPES-RÉCLAMES, ENSEIGNES LUMINEUSES, PLAQUES INDICATRICES LUMINEUSES ET ARTICLES SIMILAIRES; CONSTRUCTIONS PRÉFABRIQUÉES: Appareils d'éclairage (y compris les projecteurs) et leurs parties, non dénommés ni compris ailleurs; lampes-réclames, enseignes lumineuses, plaques indicatrices lumineuses et articles similaires, possédant une source d'éclairage fixée à demeure, et leurs parties non dénommées ni comprises ailleurs: Appareils d'éclairage non électriques</t>
  </si>
  <si>
    <t>Articles pour l'équipement des appareils d'éclairage électriques (à l'exclusion des projecteurs)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</si>
  <si>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Luminaires et appareils d'éclairage (y compris les projecteurs) et leurs parties, non dénommés ni compris ailleurs; lampes-réclames, enseignes lumineuses, plaques indicatrices lumineuses et articles similaires, possédant une source d'éclairage fixée à demeure, et leurs parties non dénommées ni comprises ailleurs: Parties: en verre: Articles pour l'équipement des appareils d'éclairage électriques (à l'exclusion des projecteurs)</t>
  </si>
  <si>
    <t>CHAPITRE 94 - MEUBLES; MOBILIER MÉDICO-CHIRURGICAL; ARTICLES DE LITERIE ET SIMILAIRES; APPAREILS D'ÉCLAIRAGE NON DÉNOMMÉS NI COMPRIS AILLEURS; LAMPES-RÉCLAMES, ENSEIGNES LUMINEUSES, PLAQUES INDICATRICES LUMINEUSES ET ARTICLES SIMILAIRES; CONSTRUCTIONS PRÉFABRIQUÉES: Appareils d'éclairage (y compris les projecteurs) et leurs parties, non dénommés ni compris ailleurs; lampes-réclames, enseignes lumineuses, plaques indicatrices lumineuses et articles similaires, possédant une source d'éclairage fixée à demeure, et leurs parties non dénommées ni comprises ailleurs: Parties: en verre: Articles pour l'équipement des appareils d'éclairage électriques (à l'exclusion des projecteurs)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</si>
  <si>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Luminaires et appareils d'éclairage (y compris les projecteurs) et leurs parties, non dénommés ni compris ailleurs; lampes-réclames, enseignes lumineuses, plaques indicatrices lumineuses et articles similaires, possédant une source d'éclairage fixée à demeure, et leurs parties non dénommées ni comprises ailleurs: Parties: en verre: autres</t>
  </si>
  <si>
    <t>CHAPITRE 94 - MEUBLES; MOBILIER MÉDICO-CHIRURGICAL; ARTICLES DE LITERIE ET SIMILAIRES; APPAREILS D'ÉCLAIRAGE NON DÉNOMMÉS NI COMPRIS AILLEURS; LAMPES-RÉCLAMES, ENSEIGNES LUMINEUSES, PLAQUES INDICATRICES LUMINEUSES ET ARTICLES SIMILAIRES; CONSTRUCTIONS PRÉFABRIQUÉES: Appareils d'éclairage (y compris les projecteurs) et leurs parties, non dénommés ni compris ailleurs; lampes-réclames, enseignes lumineuses, plaques indicatrices lumineuses et articles similaires, possédant une source d'éclairage fixée à demeure, et leurs parties non dénommées ni comprises ailleurs: Parties: en verre: autres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</si>
  <si>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Luminaires et appareils d'éclairage (y compris les projecteurs) et leurs parties, non dénommés ni compris ailleurs; lampes-réclames, enseignes lumineuses, plaques indicatrices lumineuses et articles similaires, possédant une source d'éclairage fixée à demeure, et leurs parties non dénommées ni comprises ailleurs: Parties: en matières plastiques</t>
  </si>
  <si>
    <t>CHAPITRE 94 - MEUBLES; MOBILIER MÉDICO-CHIRURGICAL; ARTICLES DE LITERIE ET SIMILAIRES; APPAREILS D'ÉCLAIRAGE NON DÉNOMMÉS NI COMPRIS AILLEURS; LAMPES-RÉCLAMES, ENSEIGNES LUMINEUSES, PLAQUES INDICATRICES LUMINEUSES ET ARTICLES SIMILAIRES; CONSTRUCTIONS PRÉFABRIQUÉES: Appareils d'éclairage (y compris les projecteurs) et leurs parties, non dénommés ni compris ailleurs; lampes-réclames, enseignes lumineuses, plaques indicatrices lumineuses et articles similaires, possédant une source d'éclairage fixée à demeure, et leurs parties non dénommées ni comprises ailleurs: Parties: en matières plastiques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</si>
  <si>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Luminaires et appareils d'éclairage (y compris les projecteurs) et leurs parties, non dénommés ni compris ailleurs; lampes-réclames, enseignes lumineuses, plaques indicatrices lumineuses et articles similaires, possédant une source d'éclairage fixée à demeure, et leurs parties non dénommées ni comprises ailleurs: Parties: autres</t>
  </si>
  <si>
    <t>CHAPITRE 94 - MEUBLES; MOBILIER MÉDICO-CHIRURGICAL; ARTICLES DE LITERIE ET SIMILAIRES; APPAREILS D'ÉCLAIRAGE NON DÉNOMMÉS NI COMPRIS AILLEURS; LAMPES-RÉCLAMES, ENSEIGNES LUMINEUSES, PLAQUES INDICATRICES LUMINEUSES ET ARTICLES SIMILAIRES; CONSTRUCTIONS PRÉFABRIQUÉES: Appareils d'éclairage (y compris les projecteurs) et leurs parties, non dénommés ni compris ailleurs; lampes-réclames, enseignes lumineuses, plaques indicatrices lumineuses et articles similaires, possédant une source d'éclairage fixée à demeure, et leurs parties non dénommées ni comprises ailleurs: Parties: autres</t>
  </si>
  <si>
    <t>en bois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</si>
  <si>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Constructions préfabriquées: en bois</t>
  </si>
  <si>
    <t>CHAPITRE 94 - MEUBLES; MOBILIER MÉDICO-CHIRURGICAL; ARTICLES DE LITERIE ET SIMILAIRES; APPAREILS D'ÉCLAIRAGE NON DÉNOMMÉS NI COMPRIS AILLEURS; LAMPES-RÉCLAMES, ENSEIGNES LUMINEUSES, PLAQUES INDICATRICES LUMINEUSES ET ARTICLES SIMILAIRES; CONSTRUCTIONS PRÉFABRIQUÉES: Constructions préfabriquées: en bois</t>
  </si>
  <si>
    <t>Résidences mobiles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</si>
  <si>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Constructions préfabriquées: autres: Résidences mobiles</t>
  </si>
  <si>
    <t>CHAPITRE 94 - MEUBLES; MOBILIER MÉDICO-CHIRURGICAL; ARTICLES DE LITERIE ET SIMILAIRES; APPAREILS D'ÉCLAIRAGE NON DÉNOMMÉS NI COMPRIS AILLEURS; LAMPES-RÉCLAMES, ENSEIGNES LUMINEUSES, PLAQUES INDICATRICES LUMINEUSES ET ARTICLES SIMILAIRES; CONSTRUCTIONS PRÉFABRIQUÉES: Constructions préfabriquées: autres: Résidences mobiles</t>
  </si>
  <si>
    <t>Serres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</si>
  <si>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Constructions préfabriquées: autres: autres: en fer ou en acier: Serres</t>
  </si>
  <si>
    <t>CHAPITRE 94 - MEUBLES; MOBILIER MÉDICO-CHIRURGICAL; ARTICLES DE LITERIE ET SIMILAIRES; APPAREILS D'ÉCLAIRAGE NON DÉNOMMÉS NI COMPRIS AILLEURS; LAMPES-RÉCLAMES, ENSEIGNES LUMINEUSES, PLAQUES INDICATRICES LUMINEUSES ET ARTICLES SIMILAIRES; CONSTRUCTIONS PRÉFABRIQUÉES: Constructions préfabriquées: autres: autres: en fer ou en acier: Serres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</si>
  <si>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Constructions préfabriquées: autres: autres: en fer ou en acier: autres</t>
  </si>
  <si>
    <t>CHAPITRE 94 - MEUBLES; MOBILIER MÉDICO-CHIRURGICAL; ARTICLES DE LITERIE ET SIMILAIRES; APPAREILS D'ÉCLAIRAGE NON DÉNOMMÉS NI COMPRIS AILLEURS; LAMPES-RÉCLAMES, ENSEIGNES LUMINEUSES, PLAQUES INDICATRICES LUMINEUSES ET ARTICLES SIMILAIRES; CONSTRUCTIONS PRÉFABRIQUÉES: Constructions préfabriquées: autres: autres: en fer ou en acier: autres</t>
  </si>
  <si>
    <t>en autres matières</t>
  </si>
  <si>
    <t>CHAPITRE 94 - MEUBLES; MOBILIER MÉDICO-CHIRURGICAL; ARTICLES DE LITERIE ET SIMILAIRES; LUMINAIRES ET APPAREILS D'ÉCLAIRAGE NON DÉNOMMÉS NI COMPRIS AILLEURS; LAMPES-RÉCLAMES, ENSEIGNES LUMINEUSES, PLAQUES INDICATRICES LUMINEUSES ET ARTICLES SIMILAIRES; CONSTRUCTIONS PRÉFABRIQUÉES: Constructions préfabriquées: autres: autres: en autres matières</t>
  </si>
  <si>
    <t>CHAPITRE 94 - MEUBLES; MOBILIER MÉDICO-CHIRURGICAL; ARTICLES DE LITERIE ET SIMILAIRES; APPAREILS D'ÉCLAIRAGE NON DÉNOMMÉS NI COMPRIS AILLEURS; LAMPES-RÉCLAMES, ENSEIGNES LUMINEUSES, PLAQUES INDICATRICES LUMINEUSES ET ARTICLES SIMILAIRES; CONSTRUCTIONS PRÉFABRIQUÉES: Constructions préfabriquées: autres: autres: en autres matières</t>
  </si>
  <si>
    <t>Billards de tout genre et leurs accessoires</t>
  </si>
  <si>
    <t>CHAPITRE 95 - JOUETS, JEUX, ARTICLES POUR DIVERTISSEMENTS OU POUR SPORTS; LEURS PARTIES ET ACCESSOIRES: Consoles et machines de jeux vidéo, jeux de société, y compris les jeux à moteur ou à mouvement, les billards, les tables spéciales pour jeux de casino, les jeux de quilles automatiques (bowlings, par exemple), les jeux fonctionnant par l’introduction d’une pièce de monnaie, d’un billet de banque, d’une carte bancaire, d’un jeton ou par tout autre moyen de paiement: Billards de tout genre et leurs accessoires</t>
  </si>
  <si>
    <t>CHAPITRE 95 - JOUETS, JEUX, ARTICLES POUR DIVERTISSEMENTS OU POUR SPORTS; LEURS PARTIES ET ACCESSOIRES: Consoles et machines de jeux vidéo, articles pour jeux de société, y compris les jeux à moteur ou à mouvement, les billards, les tables spéciales pour jeux de casino et les jeux de quilles automatiques (bowlings, par exemple): Billards de tout genre et leurs accessoires</t>
  </si>
  <si>
    <t>Jeux avec écran</t>
  </si>
  <si>
    <t>CHAPITRE 95 - JOUETS, JEUX, ARTICLES POUR DIVERTISSEMENTS OU POUR SPORTS; LEURS PARTIES ET ACCESSOIRES: Consoles et machines de jeux vidéo, jeux de société, y compris les jeux à moteur ou à mouvement, les billards, les tables spéciales pour jeux de casino, les jeux de quilles automatiques (bowlings, par exemple), les jeux fonctionnant par l’introduction d’une pièce de monnaie, d’un billet de banque, d’une carte bancaire, d’un jeton ou par tout autre moyen de paiement: Autres jeux fonctionnant par l'introduction d'une pièce de monnaie, d'un billet de banque, d'une carte bancaire, d'un jeton ou par tout autre moyen de paiement, à l'exclusion des jeux de quilles automatiques (bowlings): Jeux avec écran</t>
  </si>
  <si>
    <t>CHAPITRE 95 - JOUETS, JEUX, ARTICLES POUR DIVERTISSEMENTS OU POUR SPORTS; LEURS PARTIES ET ACCESSOIRES: Consoles et machines de jeux vidéo, articles pour jeux de société, y compris les jeux à moteur ou à mouvement, les billards, les tables spéciales pour jeux de casino et les jeux de quilles automatiques (bowlings, par exemple): Autres jeux fonctionnant par l'introduction d'une pièce de monnaie, d'un billet de banque, d'une carte bancaire, d'un jeton ou par tout autre moyen de paiement, à l'exclusion des jeux de quilles automatiques (bowlings): Jeux avec écran</t>
  </si>
  <si>
    <t>autres jeux</t>
  </si>
  <si>
    <t>CHAPITRE 95 - JOUETS, JEUX, ARTICLES POUR DIVERTISSEMENTS OU POUR SPORTS; LEURS PARTIES ET ACCESSOIRES: Consoles et machines de jeux vidéo, jeux de société, y compris les jeux à moteur ou à mouvement, les billards, les tables spéciales pour jeux de casino, les jeux de quilles automatiques (bowlings, par exemple), les jeux fonctionnant par l’introduction d’une pièce de monnaie, d’un billet de banque, d’une carte bancaire, d’un jeton ou par tout autre moyen de paiement: Autres jeux fonctionnant par l'introduction d'une pièce de monnaie, d'un billet de banque, d'une carte bancaire, d'un jeton ou par tout autre moyen de paiement, à l'exclusion des jeux de quilles automatiques (bowlings): autres jeux</t>
  </si>
  <si>
    <t>CHAPITRE 95 - JOUETS, JEUX, ARTICLES POUR DIVERTISSEMENTS OU POUR SPORTS; LEURS PARTIES ET ACCESSOIRES: Consoles et machines de jeux vidéo, articles pour jeux de société, y compris les jeux à moteur ou à mouvement, les billards, les tables spéciales pour jeux de casino et les jeux de quilles automatiques (bowlings, par exemple): Autres jeux fonctionnant par l'introduction d'une pièce de monnaie, d'un billet de banque, d'une carte bancaire, d'un jeton ou par tout autre moyen de paiement, à l'exclusion des jeux de quilles automatiques (bowlings): autres jeux</t>
  </si>
  <si>
    <t>CHAPITRE 95 - JOUETS, JEUX, ARTICLES POUR DIVERTISSEMENTS OU POUR SPORTS; LEURS PARTIES ET ACCESSOIRES: Consoles et machines de jeux vidéo, jeux de société, y compris les jeux à moteur ou à mouvement, les billards, les tables spéciales pour jeux de casino, les jeux de quilles automatiques (bowlings, par exemple), les jeux fonctionnant par l’introduction d’une pièce de monnaie, d’un billet de banque, d’une carte bancaire, d’un jeton ou par tout autre moyen de paiement: Autres jeux fonctionnant par l'introduction d'une pièce de monnaie, d'un billet de banque, d'une carte bancaire, d'un jeton ou par tout autre moyen de paiement, à l'exclusion des jeux de quilles automatiques (bowlings): Parties</t>
  </si>
  <si>
    <t>CHAPITRE 95 - JOUETS, JEUX, ARTICLES POUR DIVERTISSEMENTS OU POUR SPORTS; LEURS PARTIES ET ACCESSOIRES: Consoles et machines de jeux vidéo, articles pour jeux de société, y compris les jeux à moteur ou à mouvement, les billards, les tables spéciales pour jeux de casino et les jeux de quilles automatiques (bowlings, par exemple): Autres jeux fonctionnant par l'introduction d'une pièce de monnaie, d'un billet de banque, d'une carte bancaire, d'un jeton ou par tout autre moyen de paiement, à l'exclusion des jeux de quilles automatiques (bowlings): Parties</t>
  </si>
  <si>
    <t>Cartes à jouer</t>
  </si>
  <si>
    <t>CHAPITRE 95 - JOUETS, JEUX, ARTICLES POUR DIVERTISSEMENTS OU POUR SPORTS; LEURS PARTIES ET ACCESSOIRES: Consoles et machines de jeux vidéo, jeux de société, y compris les jeux à moteur ou à mouvement, les billards, les tables spéciales pour jeux de casino, les jeux de quilles automatiques (bowlings, par exemple), les jeux fonctionnant par l’introduction d’une pièce de monnaie, d’un billet de banque, d’une carte bancaire, d’un jeton ou par tout autre moyen de paiement: Cartes à jouer</t>
  </si>
  <si>
    <t>CHAPITRE 95 - JOUETS, JEUX, ARTICLES POUR DIVERTISSEMENTS OU POUR SPORTS; LEURS PARTIES ET ACCESSOIRES: Consoles et machines de jeux vidéo, articles pour jeux de société, y compris les jeux à moteur ou à mouvement, les billards, les tables spéciales pour jeux de casino et les jeux de quilles automatiques (bowlings, par exemple): Cartes à jouer</t>
  </si>
  <si>
    <t>Consoles et machines de jeux vidéo, autres que celles du no 950430</t>
  </si>
  <si>
    <t>CHAPITRE 95 - JOUETS, JEUX, ARTICLES POUR DIVERTISSEMENTS OU POUR SPORTS; LEURS PARTIES ET ACCESSOIRES: Consoles et machines de jeux vidéo, jeux de société, y compris les jeux à moteur ou à mouvement, les billards, les tables spéciales pour jeux de casino, les jeux de quilles automatiques (bowlings, par exemple), les jeux fonctionnant par l’introduction d’une pièce de monnaie, d’un billet de banque, d’une carte bancaire, d’un jeton ou par tout autre moyen de paiement: Consoles et machines de jeux vidéo, autres que celles du no 950430</t>
  </si>
  <si>
    <t>CHAPITRE 95 - JOUETS, JEUX, ARTICLES POUR DIVERTISSEMENTS OU POUR SPORTS; LEURS PARTIES ET ACCESSOIRES: Consoles et machines de jeux vidéo, articles pour jeux de société, y compris les jeux à moteur ou à mouvement, les billards, les tables spéciales pour jeux de casino et les jeux de quilles automatiques (bowlings, par exemple): Consoles et machines de jeux vidéo, autres que celles du no 950430</t>
  </si>
  <si>
    <t>Circuits électriques de voitures automobiles présentant les caractéristiques de jeux de compétition</t>
  </si>
  <si>
    <t>CHAPITRE 95 - JOUETS, JEUX, ARTICLES POUR DIVERTISSEMENTS OU POUR SPORTS; LEURS PARTIES ET ACCESSOIRES: Consoles et machines de jeux vidéo, jeux de société, y compris les jeux à moteur ou à mouvement, les billards, les tables spéciales pour jeux de casino, les jeux de quilles automatiques (bowlings, par exemple), les jeux fonctionnant par l’introduction d’une pièce de monnaie, d’un billet de banque, d’une carte bancaire, d’un jeton ou par tout autre moyen de paiement: autres: Circuits électriques de voitures automobiles présentant les caractéristiques de jeux de compétition</t>
  </si>
  <si>
    <t>CHAPITRE 95 - JOUETS, JEUX, ARTICLES POUR DIVERTISSEMENTS OU POUR SPORTS; LEURS PARTIES ET ACCESSOIRES: Consoles et machines de jeux vidéo, articles pour jeux de société, y compris les jeux à moteur ou à mouvement, les billards, les tables spéciales pour jeux de casino et les jeux de quilles automatiques (bowlings, par exemple): autres: Circuits électriques de voitures automobiles présentant les caractéristiques de jeux de compétition</t>
  </si>
  <si>
    <t>CHAPITRE 95 - JOUETS, JEUX, ARTICLES POUR DIVERTISSEMENTS OU POUR SPORTS; LEURS PARTIES ET ACCESSOIRES: Consoles et machines de jeux vidéo, jeux de société, y compris les jeux à moteur ou à mouvement, les billards, les tables spéciales pour jeux de casino, les jeux de quilles automatiques (bowlings, par exemple), les jeux fonctionnant par l’introduction d’une pièce de monnaie, d’un billet de banque, d’une carte bancaire, d’un jeton ou par tout autre moyen de paiement: autres: autres</t>
  </si>
  <si>
    <t>CHAPITRE 95 - JOUETS, JEUX, ARTICLES POUR DIVERTISSEMENTS OU POUR SPORTS; LEURS PARTIES ET ACCESSOIRES: Consoles et machines de jeux vidéo, articles pour jeux de société, y compris les jeux à moteur ou à mouvement, les billards, les tables spéciales pour jeux de casino et les jeux de quilles automatiques (bowlings, par exemple): autres: autres</t>
  </si>
  <si>
    <t>Cirques ambulants et ménageries ambulantes</t>
  </si>
  <si>
    <t>CHAPITRE 95 - JOUETS, JEUX, ARTICLES POUR DIVERTISSEMENTS OU POUR SPORTS; LEURS PARTIES ET ACCESSOIRES: Cirques ambulants et ménageries ambulantes; manèges pour parcs de loisirs et attractions de parcs aquatiques; attractions foraines, y compris les stands de tir; théâtres ambulants: Cirques ambulants et ménageries ambulantes</t>
  </si>
  <si>
    <t>CHAPITRE 95 - JOUETS, JEUX, ARTICLES POUR DIVERTISSEMENTS OU POUR SPORTS; LEURS PARTIES ET ACCESSOIRES: Manèges, balançoires, stands de tir et autres attractions foraines; cirques ambulants et ménageries ambulantes; théâtres ambulants: Cirques ambulants et ménageries ambulantes</t>
  </si>
  <si>
    <t>en ouates de matières textiles</t>
  </si>
  <si>
    <t>CHAPITRE 96 - OUVRAGES DIVERS: Serviettes et tampons hygiéniques, couches, langes et articles similaires, en toutes matières: en ouates de matières textiles</t>
  </si>
  <si>
    <t>CHAPITRE 96 - OUVRAGES DIVERS: Serviettes et tampons hygiéniques, couches et langes pour bébés et articles similaires, en toutes matières: en ouates de matières textiles</t>
  </si>
  <si>
    <t>Serviettes, tampons hygiéniques et articles similaires</t>
  </si>
  <si>
    <t>CHAPITRE 96 - OUVRAGES DIVERS: Serviettes et tampons hygiéniques, couches, langes et articles similaires, en toutes matières: en autres matières textiles: Serviettes, tampons hygiéniques et articles similaires</t>
  </si>
  <si>
    <t>CHAPITRE 96 - OUVRAGES DIVERS: Serviettes et tampons hygiéniques, couches et langes pour bébés et articles similaires, en toutes matières: en autres matières textiles: Serviettes, tampons hygiéniques et articles similaires</t>
  </si>
  <si>
    <t>Couches pour bébés et articles similaires</t>
  </si>
  <si>
    <t>CHAPITRE 96 - OUVRAGES DIVERS: Serviettes et tampons hygiéniques, couches, langes et articles similaires, en toutes matières: en autres matières textiles: Couches pour bébés et articles similaires</t>
  </si>
  <si>
    <t>CHAPITRE 96 - OUVRAGES DIVERS: Serviettes et tampons hygiéniques, couches et langes pour bébés et articles similaires, en toutes matières: en autres matières textiles: Couches pour bébés et articles similaires</t>
  </si>
  <si>
    <t>Serviettes hygiéniques</t>
  </si>
  <si>
    <t>CHAPITRE 96 - OUVRAGES DIVERS: Serviettes et tampons hygiéniques, couches, langes et articles similaires, en toutes matières: en autres matières: Serviettes, tampons hygiéniques et articles similaires: Serviettes hygiéniques</t>
  </si>
  <si>
    <t>CHAPITRE 96 - OUVRAGES DIVERS: Serviettes et tampons hygiéniques, couches et langes pour bébés et articles similaires, en toutes matières: en autres matières: Serviettes, tampons hygiéniques et articles similaires: Serviettes hygiéniques</t>
  </si>
  <si>
    <t>Tampons hygiéniques</t>
  </si>
  <si>
    <t>CHAPITRE 96 - OUVRAGES DIVERS: Serviettes et tampons hygiéniques, couches, langes et articles similaires, en toutes matières: en autres matières: Serviettes, tampons hygiéniques et articles similaires: Tampons hygiéniques</t>
  </si>
  <si>
    <t>CHAPITRE 96 - OUVRAGES DIVERS: Serviettes et tampons hygiéniques, couches et langes pour bébés et articles similaires, en toutes matières: en autres matières: Serviettes, tampons hygiéniques et articles similaires: Tampons hygiéniques</t>
  </si>
  <si>
    <t>CHAPITRE 96 - OUVRAGES DIVERS: Serviettes et tampons hygiéniques, couches, langes et articles similaires, en toutes matières: en autres matières: Serviettes, tampons hygiéniques et articles similaires: autres</t>
  </si>
  <si>
    <t>CHAPITRE 96 - OUVRAGES DIVERS: Serviettes et tampons hygiéniques, couches et langes pour bébés et articles similaires, en toutes matières: en autres matières: Serviettes, tampons hygiéniques et articles similaires: autres</t>
  </si>
  <si>
    <t>Couches pour bébés</t>
  </si>
  <si>
    <t>CHAPITRE 96 - OUVRAGES DIVERS: Serviettes et tampons hygiéniques, couches, langes et articles similaires, en toutes matières: en autres matières: Couches pour bébés et articles similaires: Couches pour bébés</t>
  </si>
  <si>
    <t>CHAPITRE 96 - OUVRAGES DIVERS: Serviettes et tampons hygiéniques, couches et langes pour bébés et articles similaires, en toutes matières: en autres matières: Couches pour bébés et articles similaires: Couches pour bébés</t>
  </si>
  <si>
    <t>autres (articles pour l'incontinence, par exemple)</t>
  </si>
  <si>
    <t>CHAPITRE 96 - OUVRAGES DIVERS: Serviettes et tampons hygiéniques, couches, langes et articles similaires, en toutes matières: en autres matières: Couches pour bébés et articles similaires: autres (articles pour l'incontinence, par exemple)</t>
  </si>
  <si>
    <t>CHAPITRE 96 - OUVRAGES DIVERS: Serviettes et tampons hygiéniques, couches et langes pour bébés et articles similaires, en toutes matières: en autres matières: Couches pour bébés et articles similaires: autres (articles pour l'incontinence, par exemple)</t>
  </si>
  <si>
    <t>Trousseaux et objets mobiliers appartenant à une personne qui transfère sa résidence normale à l’occasion de son mariage</t>
  </si>
  <si>
    <t>Les biens ci-après, autres que ceux susmentionnés:–– trousseaux et objets mobiliers appartenant à une personne qui transfère sa résidence normale à l’occasion de son mariage; biens personnels recueillis dans le cadre d'une succession.–– trousseaux, requis d’études et autres objets mobiliers d’élèves ou étudiants–– cercueils contenant des corps et urnes funéraires contenant les cendres de défunts et autres objets d'ornement funéraire–– biens adressés à des organismes à caractère charitable et philanthropique et au profit des victimes de catastrophes</t>
  </si>
  <si>
    <t>CODES SPECIFIQUES DE LA NOMENCLATURE COMBINEE: Certaines marchandises visées au règlement (CE) n° 1186/2009 du Conseil (importation et exportation): Les biens ci-après, autres que ceux susmentionnés:–– trousseaux et objets mobiliers appartenant à une personne qui transfère sa résidence normale à l’occasion de son mariage; biens personnels recueillis dans le cadre d'une succession.–– trousseaux, requis d’études et autres objets mobiliers d’élèves ou étudiants–– cercueils contenant des corps et urnes funéraires contenant les cendres de défunts et autres objets d'ornement funéraire–– biens adressés à des organismes à caractère charitable et philanthropique et au profit des victimes de catastrophes: Trousseaux et objets mobiliers appartenant à une personne qui transfère sa résidence normale à l’occasion de son mariage</t>
  </si>
  <si>
    <t>CODES SPECIFIQUES DE LA NOMENCLATURE COMBINEE: Certaines marchandises visées au règlement (CE) n° 1186/2009 du Conseil (importation et exportation): Les biens ci-après, autres que ceux susmentionnés:–– trousseaux et objets mobiliers appartenant à une personne qui transfère sa résidence normale à l’occasion de son mariage; biens personnels recueillis dans le cadre d'une succession.–– trousseaux, requis d’études et autres objets mobiliers d’élèves ou étudiants–– cercueils contenant des corps et urnes funéraires contenant les cendres de défunts et autres objets d'ornement funéraire–– biens adressés à des organismes à caractère charitable et philanthropique et au profit des victimes de catastrophes</t>
  </si>
  <si>
    <t>biens des chapitres 1 à 24 de la NC</t>
  </si>
  <si>
    <t>CODES SPECIFIQUES DE LA NOMENCLATURE COMBINEE: Livraisons de biens à des bateaux et à des aéronefs: biens des chapitres 1 à 24 de la NC</t>
  </si>
  <si>
    <t>CODES SPECIFIQUES DE LA NOMENCLATURE COMBINEE: Certaines marchandises visées au règlement (CE) n° 1186/2009 du Conseil (importation et exportation): Livraisons de biens à des bateaux et à des aéronefs: biens des chapitres 1 à 24 de la NC</t>
  </si>
  <si>
    <t>biens du chapitre 27 de la NC</t>
  </si>
  <si>
    <t>CODES SPECIFIQUES DE LA NOMENCLATURE COMBINEE: Livraisons de biens à des bateaux et à des aéronefs: biens du chapitre 27 de la NC</t>
  </si>
  <si>
    <t>CODES SPECIFIQUES DE LA NOMENCLATURE COMBINEE: Certaines marchandises visées au règlement (CE) n° 1186/2009 du Conseil (importation et exportation): Livraisons de biens à des bateaux et à des aéronefs: biens du chapitre 27 de la NC</t>
  </si>
  <si>
    <t>biens classés ailleurs</t>
  </si>
  <si>
    <t>CODES SPECIFIQUES DE LA NOMENCLATURE COMBINEE: Livraisons de biens à des bateaux et à des aéronefs: biens classés ailleurs</t>
  </si>
  <si>
    <t>CODES SPECIFIQUES DE LA NOMENCLATURE COMBINEE: Certaines marchandises visées au règlement (CE) n° 1186/2009 du Conseil (importation et exportation): Livraisons de biens à des bateaux et à des aéronefs: biens classés ailleurs</t>
  </si>
  <si>
    <t>CODES SPECIFIQUES DE LA NOMENCLATURE COMBINEE: Biens destinés à l’équipage de l'installation en haute mer ou nécessaires au fonctionnement des moteurs, machines et autres appareils de l'installation en haute mer: biens des chapitres 1 à 24 de la NC</t>
  </si>
  <si>
    <t>CODES SPECIFIQUES DE LA NOMENCLATURE COMBINEE: Certaines marchandises visées au règlement (CE) n° 1186/2009 du Conseil (importation et exportation): Biens destinés à l’équipage de l'installation en haute mer ou nécessaires au fonctionnement des moteurs, machines et autres appareils de l'installation en haute mer: biens des chapitres 1 à 24 de la NC</t>
  </si>
  <si>
    <t>CODES SPECIFIQUES DE LA NOMENCLATURE COMBINEE: Biens destinés à l’équipage de l'installation en haute mer ou nécessaires au fonctionnement des moteurs, machines et autres appareils de l'installation en haute mer: biens du chapitre 27 de la NC</t>
  </si>
  <si>
    <t>CODES SPECIFIQUES DE LA NOMENCLATURE COMBINEE: Certaines marchandises visées au règlement (CE) n° 1186/2009 du Conseil (importation et exportation): Biens destinés à l’équipage de l'installation en haute mer ou nécessaires au fonctionnement des moteurs, machines et autres appareils de l'installation en haute mer: biens du chapitre 27 de la NC</t>
  </si>
  <si>
    <t>CODES SPECIFIQUES DE LA NOMENCLATURE COMBINEE: Biens destinés à l’équipage de l'installation en haute mer ou nécessaires au fonctionnement des moteurs, machines et autres appareils de l'installation en haute mer: biens classés ailleurs</t>
  </si>
  <si>
    <t>CODES SPECIFIQUES DE LA NOMENCLATURE COMBINEE: Certaines marchandises visées au règlement (CE) n° 1186/2009 du Conseil (importation et exportation): Biens destinés à l’équipage de l'installation en haute mer ou nécessaires au fonctionnement des moteurs, machines et autres appareils de l'installation en haute mer: biens classés ailleurs</t>
  </si>
  <si>
    <t>Codes utilisés uniquement dans les échanges de biens entre États membres pour les transactions individuelles d'une valeur inférieure à 200 € et, dans certains cas, pour le signalement des produits résiduaires</t>
  </si>
  <si>
    <t>CODES SPECIFIQUES DE LA NOMENCLATURE COMBINEE: Codes utilisés uniquement dans les échanges de biens entre États membres pour les transactions individuelles d'une valeur inférieure à 200 € et, dans certains cas, pour le signalement des produits résiduaires</t>
  </si>
  <si>
    <t>CODES SPECIFIQUES DE LA NOMENCLATURE COMBINEE: Certaines marchandises visées au règlement (CE) n° 1186/2009 du Conseil (importation et exportation): Codes utilisés uniquement dans les échanges de biens entre États membres pour les transactions individuelles d'une valeur inférieure à 200 € et, dans certains cas, pour le signalement des produits résiduaires</t>
  </si>
  <si>
    <t>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</si>
  <si>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Weißer Thun (Thunnus alalunga): 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</si>
  <si>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Weißer Thun (Thunnus alalunga): zum industriellen Herstellen von Waren der Position 1604</t>
  </si>
  <si>
    <t>anderer</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</si>
  <si>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Weißer Thun (Thunnus alalunga): anderer</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</si>
  <si>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Weißer Thun (Thunnus alalunga): anderer</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</si>
  <si>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Gelbflossenthun (Thunnus albacares): 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</si>
  <si>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Gelbflossenthun (Thunnus albacares): 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</si>
  <si>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Gelbflossenthun (Thunnus albacares): anderer</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</si>
  <si>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Gelbflossenthun (Thunnus albacares): anderer</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</si>
  <si>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Echter Bonito (Katsuwonus pelamis): 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</si>
  <si>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echter Bonito: 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</si>
  <si>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Echter Bonito (Katsuwonus pelamis): anderer</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</si>
  <si>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echter Bonito: anderer</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</si>
  <si>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Großaugen-Thunfisch (Thunnus obesus): 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</si>
  <si>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Großaugen-Thunfisch (Thunnus obesus): 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</si>
  <si>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Großaugen-Thunfisch (Thunnus obesus): anderer</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</si>
  <si>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Großaugen-Thunfisch (Thunnus obesus): anderer</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</si>
  <si>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Atlantischer Roter Thunfisch (Thunnus thynnus) und Nordpazifischer Blauflossen-Thunfisch (Thunnus orientalis): Atlantischer Roter Thunfisch (Thunnus thynnus): 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</si>
  <si>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Atlantischer Roter Thunfisch (Thunnus thynnus) und Nordpazifischer Blauflossen-Thunfisch (Thunnus orientalis): Atlantischer Roter Thunfisch (Thunnus thynnus): 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</si>
  <si>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Atlantischer Roter Thunfisch (Thunnus thynnus) und Nordpazifischer Blauflossen-Thunfisch (Thunnus orientalis): Atlantischer Roter Thunfisch (Thunnus thynnus): anderer</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</si>
  <si>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Atlantischer Roter Thunfisch (Thunnus thynnus) und Nordpazifischer Blauflossen-Thunfisch (Thunnus orientalis): Atlantischer Roter Thunfisch (Thunnus thynnus): anderer</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</si>
  <si>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Atlantischer Roter Thunfisch (Thunnus thynnus) und Nordpazifischer Blauflossen-Thunfisch (Thunnus orientalis): Nordpazifischer Blauflossen-Thunfisch (Thunnus orientalis): 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</si>
  <si>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Atlantischer Roter Thunfisch (Thunnus thynnus) und Nordpazifischer Blauflossen-Thunfisch (Thunnus orientalis): Nordpazifischer Blauflossen-Thunfisch (Thunnus orientalis): 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</si>
  <si>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Atlantischer Roter Thunfisch (Thunnus thynnus) und Nordpazifischer Blauflossen-Thunfisch (Thunnus orientalis): Nordpazifischer Blauflossen-Thunfisch (Thunnus orientalis): anderer</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</si>
  <si>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Atlantischer Roter Thunfisch (Thunnus thynnus) und Nordpazifischer Blauflossen-Thunfisch (Thunnus orientalis): Nordpazifischer Blauflossen-Thunfisch (Thunnus orientalis): anderer</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</si>
  <si>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Südlicher Roter Thunfisch (Thunnus maccoyii): 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</si>
  <si>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Südlicher Roter Thunfisch (Thunnus maccoyii): 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</si>
  <si>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Südlicher Roter Thunfisch (Thunnus maccoyii): anderer</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</si>
  <si>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Südlicher Roter Thunfisch (Thunnus maccoyii): anderer</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</si>
  <si>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andere: zum industriellen Herstellen von Waren der Position 1604</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</si>
  <si>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andere: zum industriellen Herstellen von Waren der Position 1604</t>
  </si>
  <si>
    <t>andere</t>
  </si>
  <si>
    <t>KAPITEL 3 - FISCHE UND KREBSTIERE, WEICHTIERE UND ANDERE WIRBELLOSE WASSERTIERE: Fische, frisch oder gekühlt, ausgenommen Fischfilets und anderes Fischfleisch der Position 0304: Thunfische (der Gattung Thunnus), Echter Bonito (Katsuwonus pelamis), ausgenommen genießbare Fischnebenerzeugnisse der Unterpositionen 030291 bis 030299: andere: andere</t>
  </si>
  <si>
    <t>KAPITEL 3 - FISCHE UND KREBSTIERE, WEICHTIERE UND ANDERE WIRBELLOSE WASSERTIERE: Fische, frisch oder gekühlt, ausgenommen Fischfilets und anderes Fischfleisch der Position 0304: Thunfische (der Gattung Thunnus), echter Bonito (Euthynnus (Katsuwonus) pelamis), ausgenommen genießbare Fischnebenerzeugnisse der Unterpositionen 030291 bis 030299: andere: andere</t>
  </si>
  <si>
    <t>KAPITEL 3 - FISCHE UND KREBSTIERE, WEICHTIERE UND ANDERE WIRBELLOSE WASSERTIERE: Fische, frisch oder gekühlt, ausgenommen Fischfilets und anderes Fischfleisch der Position 0304: andere Fische, ausgenommen genießbare Fischnebenerzeugnisse der Unterpositionen 030291 bis 030299: andere: andere: Fische der Gattung Euthynnus, ausgenommen Kawakawa (Euthynnus affinis) die unter die Unterposition 030249 fallen: zum industriellen Herstellen von Waren der Position 1604</t>
  </si>
  <si>
    <t>KAPITEL 3 - FISCHE UND KREBSTIERE, WEICHTIERE UND ANDERE WIRBELLOSE WASSERTIERE: Fische, frisch oder gekühlt, ausgenommen Fischfilets und anderes Fischfleisch der Position 0304: andere Fische, ausgenommen genießbare Fischnebenerzeugnisse der Unterpositionen 030291 bis 030299: andere: andere: Fische der Gattung Euthynnus, ausgenommen echter Bonito (Euthynnus  (Katsuwonus) pelamis) der Unterposition 030233 und ausgenommen Kawakawa (Euthynnus affinis) der Unterposition 030249: zum industriellen Herstellen von Waren der Position 1604</t>
  </si>
  <si>
    <t>KAPITEL 3 - FISCHE UND KREBSTIERE, WEICHTIERE UND ANDERE WIRBELLOSE WASSERTIERE: Fische, frisch oder gekühlt, ausgenommen Fischfilets und anderes Fischfleisch der Position 0304: andere Fische, ausgenommen genießbare Fischnebenerzeugnisse der Unterpositionen 030291 bis 030299: andere: andere: Fische der Gattung Euthynnus, ausgenommen Kawakawa (Euthynnus affinis) die unter die Unterposition 030249 fallen: andere</t>
  </si>
  <si>
    <t>KAPITEL 3 - FISCHE UND KREBSTIERE, WEICHTIERE UND ANDERE WIRBELLOSE WASSERTIERE: Fische, frisch oder gekühlt, ausgenommen Fischfilets und anderes Fischfleisch der Position 0304: andere Fische, ausgenommen genießbare Fischnebenerzeugnisse der Unterpositionen 030291 bis 030299: andere: andere: Fische der Gattung Euthynnus, ausgenommen echter Bonito (Euthynnus  (Katsuwonus) pelamis) der Unterposition 030233 und ausgenommen Kawakawa (Euthynnus affinis) der Unterposition 030249: andere</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</si>
  <si>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Weißer Thun (Thunnus alalunga): zum industriellen Herstellen von Waren der Position 1604</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</si>
  <si>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Weißer Thun (Thunnus alalunga): zum industriellen Herstellen von Waren der Position 1604</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</si>
  <si>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Weißer Thun (Thunnus alalunga): anderer</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</si>
  <si>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Weißer Thun (Thunnus alalunga): anderer</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</si>
  <si>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Gelbflossenthun (Thunnus albacares): zum industriellen Herstellen von Waren der Position 1604</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</si>
  <si>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Gelbflossenthun (Thunnus albacares): zum industriellen Herstellen von Waren der Position 1604</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</si>
  <si>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Gelbflossenthun (Thunnus albacares): anderer</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</si>
  <si>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Gelbflossenthun (Thunnus albacares): anderer</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</si>
  <si>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Echter Bonito (Katsuwonus pelamis): zum industriellen Herstellen von Waren der Position 1604</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</si>
  <si>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echter Bonito: zum industriellen Herstellen von Waren der Position 1604</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</si>
  <si>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Echter Bonito (Katsuwonus pelamis): anderer</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</si>
  <si>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echter Bonito: anderer</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</si>
  <si>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Großaugen-Thunfisch (Thunnus obesus): zum industriellen Herstellen von Waren der Position 1604</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</si>
  <si>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Großaugen-Thunfisch (Thunnus obesus): zum industriellen Herstellen von Waren der Position 1604</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</si>
  <si>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Großaugen-Thunfisch (Thunnus obesus): anderer</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</si>
  <si>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Großaugen-Thunfisch (Thunnus obesus): anderer</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</si>
  <si>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Atlantischer Roter Thunfisch (Thunnus thynnus) und Nordpazifischer Blauflossen-Thunfisch (Thunnus orientalis): Atlantischer Roter Thunfisch (Thunnus thynnus): zum industriellen Herstellen von Waren der Position 1604</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</si>
  <si>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Atlantischer Roter Thunfisch (Thunnus thynnus) und Nordpazifischer Blauflossen-Thunfisch (Thunnus orientalis): Atlantischer Roter Thunfisch (Thunnus thynnus): zum industriellen Herstellen von Waren der Position 1604</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</si>
  <si>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Atlantischer Roter Thunfisch (Thunnus thynnus) und Nordpazifischer Blauflossen-Thunfisch (Thunnus orientalis): Atlantischer Roter Thunfisch (Thunnus thynnus): anderer</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</si>
  <si>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Atlantischer Roter Thunfisch (Thunnus thynnus) und Nordpazifischer Blauflossen-Thunfisch (Thunnus orientalis): Atlantischer Roter Thunfisch (Thunnus thynnus): anderer</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</si>
  <si>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Atlantischer Roter Thunfisch (Thunnus thynnus) und Nordpazifischer Blauflossen-Thunfisch (Thunnus orientalis): Nordpazifischer Blauflossen-Thunfisch (Thunnus orientalis): zum industriellen Herstellen von Waren der Position 1604</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</si>
  <si>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Atlantischer Roter Thunfisch (Thunnus thynnus) und Nordpazifischer Blauflossen-Thunfisch (Thunnus orientalis): Nordpazifischer Blauflossen-Thunfisch (Thunnus orientalis): zum industriellen Herstellen von Waren der Position 1604</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</si>
  <si>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Atlantischer Roter Thunfisch (Thunnus thynnus) und Nordpazifischer Blauflossen-Thunfisch (Thunnus orientalis): Nordpazifischer Blauflossen-Thunfisch (Thunnus orientalis): anderer</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</si>
  <si>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Atlantischer Roter Thunfisch (Thunnus thynnus) und Nordpazifischer Blauflossen-Thunfisch (Thunnus orientalis): Nordpazifischer Blauflossen-Thunfisch (Thunnus orientalis): anderer</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</si>
  <si>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Südlicher Roter Thunfisch (Thunnus maccoyii): zum industriellen Herstellen von Waren der Position 1604</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</si>
  <si>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Südlicher Roter Thunfisch (Thunnus maccoyii): zum industriellen Herstellen von Waren der Position 1604</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</si>
  <si>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Südlicher Roter Thunfisch (Thunnus maccoyii): anderer</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</si>
  <si>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Südlicher Roter Thunfisch (Thunnus maccoyii): anderer</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</si>
  <si>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andere: zum industriellen Herstellen von Waren der Position 1604</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</si>
  <si>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andere: zum industriellen Herstellen von Waren der Position 1604</t>
  </si>
  <si>
    <t>KAPITEL 3 - FISCHE UND KREBSTIERE, WEICHTIERE UND ANDERE WIRBELLOSE WASSERTIERE: Fische, gefroren, ausgenommen Fischfilets und anderes Fischfleisch der Position 0304: Thunfische (der Gattung Thunnus), Echter Bonito (Katsuwonus pelamis), ausgenommen genießbare Fischnebenerzeugnisse der Unterpositionen 030391 bis 030399: andere: andere</t>
  </si>
  <si>
    <t>KAPITEL 3 - FISCHE UND KREBSTIERE, WEICHTIERE UND ANDERE WIRBELLOSE WASSERTIERE: Fische, gefroren, ausgenommen Fischfilets und anderes Fischfleisch der Position 0304: Thunfische (der Gattung Thunnus), echter Bonito (Euthynnus (Katsuwonus) pelamis), ausgenommen genießbare Fischnebenerzeugnisse der Unterpositionen 030391 bis 030399: andere: andere</t>
  </si>
  <si>
    <t>KAPITEL 3 - FISCHE UND KREBSTIERE, WEICHTIERE UND ANDERE WIRBELLOSE WASSERTIERE: Fische, gefroren, ausgenommen Fischfilets und anderes Fischfleisch der Position 0304: andere Fische, ausgenommen genießbare Fischnebenerzeugnisse der Unterpositionen 030391 bis 030399: andere: andere: Fische der Gattung Euthynnus, ausgenommen Kawakawa (Euthynnus affinis) die unter die Unterposition 030359 fallen: zum industriellen Herstellen von Waren der Position 1604</t>
  </si>
  <si>
    <t>KAPITEL 3 - FISCHE UND KREBSTIERE, WEICHTIERE UND ANDERE WIRBELLOSE WASSERTIERE: Fische, gefroren, ausgenommen Fischfilets und anderes Fischfleisch der Position 0304: andere Fische, ausgenommen genießbare Fischnebenerzeugnisse der Unterpositionen 030391 bis 030399: andere: andere: Fische der Gattung Euthynnus, ausgenommen echter Bonito (Euthynnus  (Katsuwonus) pelamis) der Unterposition 030343 und ausgenommen Kawakawa (Euthynnus affinis) der Unterposition 030359: zum industriellen Herstellen von Waren der Position 1604</t>
  </si>
  <si>
    <t>KAPITEL 3 - FISCHE UND KREBSTIERE, WEICHTIERE UND ANDERE WIRBELLOSE WASSERTIERE: Fische, gefroren, ausgenommen Fischfilets und anderes Fischfleisch der Position 0304: andere Fische, ausgenommen genießbare Fischnebenerzeugnisse der Unterpositionen 030391 bis 030399: andere: andere: Fische der Gattung Euthynnus, ausgenommen Kawakawa (Euthynnus affinis) die unter die Unterposition 030359 fallen: andere</t>
  </si>
  <si>
    <t>KAPITEL 3 - FISCHE UND KREBSTIERE, WEICHTIERE UND ANDERE WIRBELLOSE WASSERTIERE: Fische, gefroren, ausgenommen Fischfilets und anderes Fischfleisch der Position 0304: andere Fische, ausgenommen genießbare Fischnebenerzeugnisse der Unterpositionen 030391 bis 030399: andere: andere: Fische der Gattung Euthynnus, ausgenommen echter Bonito (Euthynnus  (Katsuwonus) pelamis) der Unterposition 030343 und ausgenommen Kawakawa (Euthynnus affinis) der Unterposition 030359: andere</t>
  </si>
  <si>
    <t>von Thunfischen (der Gattung Thunnus) und vom Echten Bonito (Katsuwonus pelamis)</t>
  </si>
  <si>
    <t>von Thunfischen der Gattung Thunnus und vom Echten Bonito (Euthynnus (Katsuwonus) pelamis)</t>
  </si>
  <si>
    <t>KAPITEL 3 - FISCHE UND KREBSTIERE, WEICHTIERE UND ANDERE WIRBELLOSE WASSERTIERE: Fischfilets und anderes Fischfleisch (auch fein zerkleinert), frisch, gekühlt oder gefroren: Gefrorene Filets von anderen Fischen: von Thunfischen (der Gattung Thunnus) und vom Echten Bonito (Katsuwonus pelamis)</t>
  </si>
  <si>
    <t>KAPITEL 3 - FISCHE UND KREBSTIERE, WEICHTIERE UND ANDERE WIRBELLOSE WASSERTIERE: Fischfilets und anderes Fischfleisch (auch fein zerkleinert), frisch, gekühlt oder gefroren: Gefrorene Filets von anderen Fischen: von Thunfischen der Gattung Thunnus und vom Echten Bonito (Euthynnus (Katsuwonus) pelamis)</t>
  </si>
  <si>
    <t>von Fischen der Gattung Euthynnus</t>
  </si>
  <si>
    <t>von Fischen der Gattung Euthynnus, andere als dem echten Bonito (Euthynnus (Katsuwonus) pelamis) der Unterposition 03048700</t>
  </si>
  <si>
    <t>KAPITEL 3 - FISCHE UND KREBSTIERE, WEICHTIERE UND ANDERE WIRBELLOSE WASSERTIERE: Fischfilets und anderes Fischfleisch (auch fein zerkleinert), frisch, gekühlt oder gefroren: Gefrorene Filets von anderen Fischen: andere: andere: von Fischen der Gattung Euthynnus</t>
  </si>
  <si>
    <t>KAPITEL 3 - FISCHE UND KREBSTIERE, WEICHTIERE UND ANDERE WIRBELLOSE WASSERTIERE: Fischfilets und anderes Fischfleisch (auch fein zerkleinert), frisch, gekühlt oder gefroren: Gefrorene Filets von anderen Fischen: andere: andere: von Fischen der Gattung Euthynnus, andere als dem echten Bonito (Euthynnus (Katsuwonus) pelamis) der Unterposition 03048700</t>
  </si>
  <si>
    <t>Fischlebern, Fischrogen und Fischmilch, getrocknet, geräuchert, gesalzen oder in Salzlake</t>
  </si>
  <si>
    <t>KAPITEL 3 - FISCHE UND KREBSTIERE, WEICHTIERE UND ANDERE WIRBELLOSE WASSERTIERE: Fische, getrocknet, gesalzen oder in Salzlake; Fische, geräuchert, auch vor oder während des Räucherns gegart: Fischlebern, Fischrogen und Fischmilch, getrocknet, geräuchert, gesalzen oder in Salzlake</t>
  </si>
  <si>
    <t>KAPITEL 3 - FISCHE UND KREBSTIERE, WEICHTIERE UND ANDERE WIRBELLOSE WASSERTIERE: Fische, getrocknet, gesalzen oder in Salzlake; Fische, geräuchert, auch vor oder während des Räucherns gegart; Mehl, Pulver und Pellets von Fischen, genießbar: Fischlebern, Fischrogen und Fischmilch, getrocknet, geräuchert, gesalzen oder in Salzlake</t>
  </si>
  <si>
    <t>von Tilapia (Oreochromis spp.), Welsen (Pangasius spp., Silurus spp., Clarias spp., Ictalurus spp.), Karpfen (Cyprinus spp., Carassius spp., Ctenopharyngodon idellus, Hypophthalmichthys spp., Cirrhinus spp., Mylopharyngodon piceus, Catla catla, Labeo spp., Osteochilus hasselti, Leptobarbus hoeveni, Megalobrama spp.), Aalen (Anguilla spp.), vom Nilbarsch (Lates niloticus) und von Schlangenkopffischen (Channa spp.)</t>
  </si>
  <si>
    <t>KAPITEL 3 - FISCHE UND KREBSTIERE, WEICHTIERE UND ANDERE WIRBELLOSE WASSERTIERE: Fische, getrocknet, gesalzen oder in Salzlake; Fische, geräuchert, auch vor oder während des Räucherns gegart: Fischfilets, getrocknet, gesalzen oder in Salzlake, jedoch nicht geräuchert: von Tilapia (Oreochromis spp.), Welsen (Pangasius spp., Silurus spp., Clarias spp., Ictalurus spp.), Karpfen (Cyprinus spp., Carassius spp., Ctenopharyngodon idellus, Hypophthalmichthys spp., Cirrhinus spp., Mylopharyngodon piceus, Catla catla, Labeo spp., Osteochilus hasselti, Leptobarbus hoeveni, Megalobrama spp.), Aalen (Anguilla spp.), vom Nilbarsch (Lates niloticus) und von Schlangenkopffischen (Channa spp.)</t>
  </si>
  <si>
    <t>KAPITEL 3 - FISCHE UND KREBSTIERE, WEICHTIERE UND ANDERE WIRBELLOSE WASSERTIERE: Fische, getrocknet, gesalzen oder in Salzlake; Fische, geräuchert, auch vor oder während des Räucherns gegart; Mehl, Pulver und Pellets von Fischen, genießbar: Fischfilets, getrocknet, gesalzen oder in Salzlake, jedoch nicht geräuchert: von Tilapia (Oreochromis spp.), Welsen (Pangasius spp., Silurus spp., Clarias spp., Ictalurus spp.), Karpfen (Cyprinus spp., Carassius spp., Ctenopharyngodon idellus, Hypophthalmichthys spp., Cirrhinus spp., Mylopharyngodon piceus, Catla catla, Labeo spp., Osteochilus hasselti, Leptobarbus hoeveni, Megalobrama spp.), Aalen (Anguilla spp.), vom Nilbarsch (Lates niloticus) und von Schlangenkopffischen (Channa spp.)</t>
  </si>
  <si>
    <t>der Art Gadus macrocephalus</t>
  </si>
  <si>
    <t>KAPITEL 3 - FISCHE UND KREBSTIERE, WEICHTIERE UND ANDERE WIRBELLOSE WASSERTIERE: Fische, getrocknet, gesalzen oder in Salzlake; Fische, geräuchert, auch vor oder während des Räucherns gegart: Fischfilets, getrocknet, gesalzen oder in Salzlake, jedoch nicht geräuchert: von Fischen der Familien Bregmacerotidae, Euclichthyidae, Gadidae, Macrouridae, Melanonidae, Merlucciidae, Moridae und Muraenolepididae: vom Kabeljau (Gadus morhua, Gadus ogac, Gadus macrocephalus) und vom Polardorsch (Boreogadus saida): der Art Gadus macrocephalus</t>
  </si>
  <si>
    <t>KAPITEL 3 - FISCHE UND KREBSTIERE, WEICHTIERE UND ANDERE WIRBELLOSE WASSERTIERE: Fische, getrocknet, gesalzen oder in Salzlake; Fische, geräuchert, auch vor oder während des Räucherns gegart; Mehl, Pulver und Pellets von Fischen, genießbar: Fischfilets, getrocknet, gesalzen oder in Salzlake, jedoch nicht geräuchert: von Fischen der Familien Bregmacerotidae, Euclichthyidae, Gadidae, Macrouridae, Melanonidae, Merlucciidae, Moridae und Muraenolepididae: vom Kabeljau (Gadus morhua, Gadus ogac, Gadus macrocephalus) und vom Polardorsch (Boreogadus saida): der Art Gadus macrocephalus</t>
  </si>
  <si>
    <t>KAPITEL 3 - FISCHE UND KREBSTIERE, WEICHTIERE UND ANDERE WIRBELLOSE WASSERTIERE: Fische, getrocknet, gesalzen oder in Salzlake; Fische, geräuchert, auch vor oder während des Räucherns gegart: Fischfilets, getrocknet, gesalzen oder in Salzlake, jedoch nicht geräuchert: von Fischen der Familien Bregmacerotidae, Euclichthyidae, Gadidae, Macrouridae, Melanonidae, Merlucciidae, Moridae und Muraenolepididae: vom Kabeljau (Gadus morhua, Gadus ogac, Gadus macrocephalus) und vom Polardorsch (Boreogadus saida): andere</t>
  </si>
  <si>
    <t>KAPITEL 3 - FISCHE UND KREBSTIERE, WEICHTIERE UND ANDERE WIRBELLOSE WASSERTIERE: Fische, getrocknet, gesalzen oder in Salzlake; Fische, geräuchert, auch vor oder während des Räucherns gegart; Mehl, Pulver und Pellets von Fischen, genießbar: Fischfilets, getrocknet, gesalzen oder in Salzlake, jedoch nicht geräuchert: von Fischen der Familien Bregmacerotidae, Euclichthyidae, Gadidae, Macrouridae, Melanonidae, Merlucciidae, Moridae und Muraenolepididae: vom Kabeljau (Gadus morhua, Gadus ogac, Gadus macrocephalus) und vom Polardorsch (Boreogadus saida): andere</t>
  </si>
  <si>
    <t>KAPITEL 3 - FISCHE UND KREBSTIERE, WEICHTIERE UND ANDERE WIRBELLOSE WASSERTIERE: Fische, getrocknet, gesalzen oder in Salzlake; Fische, geräuchert, auch vor oder während des Räucherns gegart: Fischfilets, getrocknet, gesalzen oder in Salzlake, jedoch nicht geräuchert: von Fischen der Familien Bregmacerotidae, Euclichthyidae, Gadidae, Macrouridae, Melanonidae, Merlucciidae, Moridae und Muraenolepididae: andere</t>
  </si>
  <si>
    <t>KAPITEL 3 - FISCHE UND KREBSTIERE, WEICHTIERE UND ANDERE WIRBELLOSE WASSERTIERE: Fische, getrocknet, gesalzen oder in Salzlake; Fische, geräuchert, auch vor oder während des Räucherns gegart; Mehl, Pulver und Pellets von Fischen, genießbar: Fischfilets, getrocknet, gesalzen oder in Salzlake, jedoch nicht geräuchert: von Fischen der Familien Bregmacerotidae, Euclichthyidae, Gadidae, Macrouridae, Melanonidae, Merlucciidae, Moridae und Muraenolepididae: andere</t>
  </si>
  <si>
    <t>vom Pazifischen Lachs (Oncorhynchus nerka, Oncorhynchus gorbuscha, Oncorhynchus keta, Oncorhynchus tschawytscha, Oncorhynchus kisutch, Oncorhynchus masou und Oncorhynchus rhodurus), Atlantischen Lachs (Salmo salar) und Donaulachs (Hucho hucho), gesalzen oder in Salzlake</t>
  </si>
  <si>
    <t>KAPITEL 3 - FISCHE UND KREBSTIERE, WEICHTIERE UND ANDERE WIRBELLOSE WASSERTIERE: Fische, getrocknet, gesalzen oder in Salzlake; Fische, geräuchert, auch vor oder während des Räucherns gegart: Fischfilets, getrocknet, gesalzen oder in Salzlake, jedoch nicht geräuchert: andere: vom Pazifischen Lachs (Oncorhynchus nerka, Oncorhynchus gorbuscha, Oncorhynchus keta, Oncorhynchus tschawytscha, Oncorhynchus kisutch, Oncorhynchus masou und Oncorhynchus rhodurus), Atlantischen Lachs (Salmo salar) und Donaulachs (Hucho hucho), gesalzen oder in Salzlake</t>
  </si>
  <si>
    <t>KAPITEL 3 - FISCHE UND KREBSTIERE, WEICHTIERE UND ANDERE WIRBELLOSE WASSERTIERE: Fische, getrocknet, gesalzen oder in Salzlake; Fische, geräuchert, auch vor oder während des Räucherns gegart; Mehl, Pulver und Pellets von Fischen, genießbar: Fischfilets, getrocknet, gesalzen oder in Salzlake, jedoch nicht geräuchert: andere: vom Pazifischen Lachs (Oncorhynchus nerka, Oncorhynchus gorbuscha, Oncorhynchus keta, Oncorhynchus tschawytscha, Oncorhynchus kisutch, Oncorhynchus masou und Oncorhynchus rhodurus), Atlantischen Lachs (Salmo salar) und Donaulachs (Hucho hucho), gesalzen oder in Salzlake</t>
  </si>
  <si>
    <t>vom Schwarzen Heilbutt (Reinhardtius hippoglossoides), gesalzen oder in Salzlake</t>
  </si>
  <si>
    <t>KAPITEL 3 - FISCHE UND KREBSTIERE, WEICHTIERE UND ANDERE WIRBELLOSE WASSERTIERE: Fische, getrocknet, gesalzen oder in Salzlake; Fische, geräuchert, auch vor oder während des Räucherns gegart: Fischfilets, getrocknet, gesalzen oder in Salzlake, jedoch nicht geräuchert: andere: vom Schwarzen Heilbutt (Reinhardtius hippoglossoides), gesalzen oder in Salzlake</t>
  </si>
  <si>
    <t>KAPITEL 3 - FISCHE UND KREBSTIERE, WEICHTIERE UND ANDERE WIRBELLOSE WASSERTIERE: Fische, getrocknet, gesalzen oder in Salzlake; Fische, geräuchert, auch vor oder während des Räucherns gegart; Mehl, Pulver und Pellets von Fischen, genießbar: Fischfilets, getrocknet, gesalzen oder in Salzlake, jedoch nicht geräuchert: andere: vom Schwarzen Heilbutt (Reinhardtius hippoglossoides), gesalzen oder in Salzlake</t>
  </si>
  <si>
    <t>KAPITEL 3 - FISCHE UND KREBSTIERE, WEICHTIERE UND ANDERE WIRBELLOSE WASSERTIERE: Fische, getrocknet, gesalzen oder in Salzlake; Fische, geräuchert, auch vor oder während des Räucherns gegart: Fischfilets, getrocknet, gesalzen oder in Salzlake, jedoch nicht geräuchert: andere: andere</t>
  </si>
  <si>
    <t>KAPITEL 3 - FISCHE UND KREBSTIERE, WEICHTIERE UND ANDERE WIRBELLOSE WASSERTIERE: Fische, getrocknet, gesalzen oder in Salzlake; Fische, geräuchert, auch vor oder während des Räucherns gegart; Mehl, Pulver und Pellets von Fischen, genießbar: Fischfilets, getrocknet, gesalzen oder in Salzlake, jedoch nicht geräuchert: andere: andere</t>
  </si>
  <si>
    <t>Pazifischer Lachs (Oncorhynchus nerka, Oncorhynchus gorbuscha, Oncorhynchus keta, Oncorhynchus tschawytscha, Oncorhynchus kisutch, Oncorhynchus masou und Oncorhynchus rhodurus), Atlantischer Lachs (Salmo salar) und Donaulachs (Hucho hucho)</t>
  </si>
  <si>
    <t>KAPITEL 3 - FISCHE UND KREBSTIERE, WEICHTIERE UND ANDERE WIRBELLOSE WASSERTIERE: Fische, getrocknet, gesalzen oder in Salzlake; Fische, geräuchert, auch vor oder während des Räucherns gegart: Fische, geräuchert, einschließlich Fischfilets, ausgenommen genießbare Fischnebenerzeugnisse: Pazifischer Lachs (Oncorhynchus nerka, Oncorhynchus gorbuscha, Oncorhynchus keta, Oncorhynchus tschawytscha, Oncorhynchus kisutch, Oncorhynchus masou und Oncorhynchus rhodurus), Atlantischer Lachs (Salmo salar) und Donaulachs (Hucho hucho)</t>
  </si>
  <si>
    <t>KAPITEL 3 - FISCHE UND KREBSTIERE, WEICHTIERE UND ANDERE WIRBELLOSE WASSERTIERE: Fische, getrocknet, gesalzen oder in Salzlake; Fische, geräuchert, auch vor oder während des Räucherns gegart; Mehl, Pulver und Pellets von Fischen, genießbar: Fische, geräuchert, einschließlich Fischfilets, ausgenommen genießbare Fischnebenerzeugnisse: Pazifischer Lachs (Oncorhynchus nerka, Oncorhynchus gorbuscha, Oncorhynchus keta, Oncorhynchus tschawytscha, Oncorhynchus kisutch, Oncorhynchus masou und Oncorhynchus rhodurus), Atlantischer Lachs (Salmo salar) und Donaulachs (Hucho hucho)</t>
  </si>
  <si>
    <t>Heringe (Clupea harengus, Clupea pallasii)</t>
  </si>
  <si>
    <t>KAPITEL 3 - FISCHE UND KREBSTIERE, WEICHTIERE UND ANDERE WIRBELLOSE WASSERTIERE: Fische, getrocknet, gesalzen oder in Salzlake; Fische, geräuchert, auch vor oder während des Räucherns gegart: Fische, geräuchert, einschließlich Fischfilets, ausgenommen genießbare Fischnebenerzeugnisse: Heringe (Clupea harengus, Clupea pallasii)</t>
  </si>
  <si>
    <t>KAPITEL 3 - FISCHE UND KREBSTIERE, WEICHTIERE UND ANDERE WIRBELLOSE WASSERTIERE: Fische, getrocknet, gesalzen oder in Salzlake; Fische, geräuchert, auch vor oder während des Räucherns gegart; Mehl, Pulver und Pellets von Fischen, genießbar: Fische, geräuchert, einschließlich Fischfilets, ausgenommen genießbare Fischnebenerzeugnisse: Heringe (Clupea harengus, Clupea pallasii)</t>
  </si>
  <si>
    <t>Forellen (Salmo trutta, Oncorhynchus mykiss, Oncorhynchus clarki, Oncorhynchus aguabonita, Oncorhynchus gilae, Oncorhynchus apache und Oncorhynchus chrysogaster)</t>
  </si>
  <si>
    <t>KAPITEL 3 - FISCHE UND KREBSTIERE, WEICHTIERE UND ANDERE WIRBELLOSE WASSERTIERE: Fische, getrocknet, gesalzen oder in Salzlake; Fische, geräuchert, auch vor oder während des Räucherns gegart: Fische, geräuchert, einschließlich Fischfilets, ausgenommen genießbare Fischnebenerzeugnisse: Forellen (Salmo trutta, Oncorhynchus mykiss, Oncorhynchus clarki, Oncorhynchus aguabonita, Oncorhynchus gilae, Oncorhynchus apache und Oncorhynchus chrysogaster)</t>
  </si>
  <si>
    <t>KAPITEL 3 - FISCHE UND KREBSTIERE, WEICHTIERE UND ANDERE WIRBELLOSE WASSERTIERE: Fische, getrocknet, gesalzen oder in Salzlake; Fische, geräuchert, auch vor oder während des Räucherns gegart; Mehl, Pulver und Pellets von Fischen, genießbar: Fische, geräuchert, einschließlich Fischfilets, ausgenommen genießbare Fischnebenerzeugnisse: Forellen (Salmo trutta, Oncorhynchus mykiss, Oncorhynchus clarki, Oncorhynchus aguabonita, Oncorhynchus gilae, Oncorhynchus apache und Oncorhynchus chrysogaster)</t>
  </si>
  <si>
    <t>Aale (Anguilla spp.)</t>
  </si>
  <si>
    <t>KAPITEL 3 - FISCHE UND KREBSTIERE, WEICHTIERE UND ANDERE WIRBELLOSE WASSERTIERE: Fische, getrocknet, gesalzen oder in Salzlake; Fische, geräuchert, auch vor oder während des Räucherns gegart: Fische, geräuchert, einschließlich Fischfilets, ausgenommen genießbare Fischnebenerzeugnisse: Tilapia (Oreochromis spp.), Welse (Pangasius spp., Silurus spp., Clarias spp., Ictalurus spp.), Karpfen (Cyprinus spp., Carassius spp., Ctenopharyngodon idellus, Hypophthalmichthys spp., Cirrhinus spp., Mylopharyngodon piceus, Catla catla, Labeo spp., Osteochilus hasselti, Leptobarbus hoeveni, Megalobrama spp.), Aale (Anguilla spp.), Nilbarsch (Lates niloticus) und Schlangenkopffische (Channa spp.): Aale (Anguilla spp.)</t>
  </si>
  <si>
    <t>KAPITEL 3 - FISCHE UND KREBSTIERE, WEICHTIERE UND ANDERE WIRBELLOSE WASSERTIERE: Fische, getrocknet, gesalzen oder in Salzlake; Fische, geräuchert, auch vor oder während des Räucherns gegart; Mehl, Pulver und Pellets von Fischen, genießbar: Fische, geräuchert, einschließlich Fischfilets, ausgenommen genießbare Fischnebenerzeugnisse: Tilapia (Oreochromis spp.), Welse (Pangasius spp., Silurus spp., Clarias spp., Ictalurus spp.), Karpfen (Cyprinus spp., Carassius spp., Ctenopharyngodon idellus, Hypophthalmichthys spp., Cirrhinus spp., Mylopharyngodon piceus, Catla catla, Labeo spp., Osteochilus hasselti, Leptobarbus hoeveni, Megalobrama spp.), Aale (Anguilla spp.), Nilbarsch (Lates niloticus) und Schlangenkopffische (Channa spp.): Aale (Anguilla spp.)</t>
  </si>
  <si>
    <t>KAPITEL 3 - FISCHE UND KREBSTIERE, WEICHTIERE UND ANDERE WIRBELLOSE WASSERTIERE: Fische, getrocknet, gesalzen oder in Salzlake; Fische, geräuchert, auch vor oder während des Räucherns gegart: Fische, geräuchert, einschließlich Fischfilets, ausgenommen genießbare Fischnebenerzeugnisse: Tilapia (Oreochromis spp.), Welse (Pangasius spp., Silurus spp., Clarias spp., Ictalurus spp.), Karpfen (Cyprinus spp., Carassius spp., Ctenopharyngodon idellus, Hypophthalmichthys spp., Cirrhinus spp., Mylopharyngodon piceus, Catla catla, Labeo spp., Osteochilus hasselti, Leptobarbus hoeveni, Megalobrama spp.), Aale (Anguilla spp.), Nilbarsch (Lates niloticus) und Schlangenkopffische (Channa spp.): andere</t>
  </si>
  <si>
    <t>KAPITEL 3 - FISCHE UND KREBSTIERE, WEICHTIERE UND ANDERE WIRBELLOSE WASSERTIERE: Fische, getrocknet, gesalzen oder in Salzlake; Fische, geräuchert, auch vor oder während des Räucherns gegart; Mehl, Pulver und Pellets von Fischen, genießbar: Fische, geräuchert, einschließlich Fischfilets, ausgenommen genießbare Fischnebenerzeugnisse: Tilapia (Oreochromis spp.), Welse (Pangasius spp., Silurus spp., Clarias spp., Ictalurus spp.), Karpfen (Cyprinus spp., Carassius spp., Ctenopharyngodon idellus, Hypophthalmichthys spp., Cirrhinus spp., Mylopharyngodon piceus, Catla catla, Labeo spp., Osteochilus hasselti, Leptobarbus hoeveni, Megalobrama spp.), Aale (Anguilla spp.), Nilbarsch (Lates niloticus) und Schlangenkopffische (Channa spp.): andere</t>
  </si>
  <si>
    <t>Schwarzer Heilbutt (Reinhardtius hippoglossoides)</t>
  </si>
  <si>
    <t>KAPITEL 3 - FISCHE UND KREBSTIERE, WEICHTIERE UND ANDERE WIRBELLOSE WASSERTIERE: Fische, getrocknet, gesalzen oder in Salzlake; Fische, geräuchert, auch vor oder während des Räucherns gegart: Fische, geräuchert, einschließlich Fischfilets, ausgenommen genießbare Fischnebenerzeugnisse: andere: Schwarzer Heilbutt (Reinhardtius hippoglossoides)</t>
  </si>
  <si>
    <t>KAPITEL 3 - FISCHE UND KREBSTIERE, WEICHTIERE UND ANDERE WIRBELLOSE WASSERTIERE: Fische, getrocknet, gesalzen oder in Salzlake; Fische, geräuchert, auch vor oder während des Räucherns gegart; Mehl, Pulver und Pellets von Fischen, genießbar: Fische, geräuchert, einschließlich Fischfilets, ausgenommen genießbare Fischnebenerzeugnisse: andere: Schwarzer Heilbutt (Reinhardtius hippoglossoides)</t>
  </si>
  <si>
    <t>Atlantischer Heilbutt (Hippoglossus hippoglossus)</t>
  </si>
  <si>
    <t>KAPITEL 3 - FISCHE UND KREBSTIERE, WEICHTIERE UND ANDERE WIRBELLOSE WASSERTIERE: Fische, getrocknet, gesalzen oder in Salzlake; Fische, geräuchert, auch vor oder während des Räucherns gegart: Fische, geräuchert, einschließlich Fischfilets, ausgenommen genießbare Fischnebenerzeugnisse: andere: Atlantischer Heilbutt (Hippoglossus hippoglossus)</t>
  </si>
  <si>
    <t>KAPITEL 3 - FISCHE UND KREBSTIERE, WEICHTIERE UND ANDERE WIRBELLOSE WASSERTIERE: Fische, getrocknet, gesalzen oder in Salzlake; Fische, geräuchert, auch vor oder während des Räucherns gegart; Mehl, Pulver und Pellets von Fischen, genießbar: Fische, geräuchert, einschließlich Fischfilets, ausgenommen genießbare Fischnebenerzeugnisse: andere: Atlantischer Heilbutt (Hippoglossus hippoglossus)</t>
  </si>
  <si>
    <t>Makrelen (Scomber scombrus, Scomber australasicus, Scomber japonicus)</t>
  </si>
  <si>
    <t>KAPITEL 3 - FISCHE UND KREBSTIERE, WEICHTIERE UND ANDERE WIRBELLOSE WASSERTIERE: Fische, getrocknet, gesalzen oder in Salzlake; Fische, geräuchert, auch vor oder während des Räucherns gegart: Fische, geräuchert, einschließlich Fischfilets, ausgenommen genießbare Fischnebenerzeugnisse: andere: Makrelen (Scomber scombrus, Scomber australasicus, Scomber japonicus)</t>
  </si>
  <si>
    <t>KAPITEL 3 - FISCHE UND KREBSTIERE, WEICHTIERE UND ANDERE WIRBELLOSE WASSERTIERE: Fische, getrocknet, gesalzen oder in Salzlake; Fische, geräuchert, auch vor oder während des Räucherns gegart; Mehl, Pulver und Pellets von Fischen, genießbar: Fische, geräuchert, einschließlich Fischfilets, ausgenommen genießbare Fischnebenerzeugnisse: andere: Makrelen (Scomber scombrus, Scomber australasicus, Scomber japonicus)</t>
  </si>
  <si>
    <t>KAPITEL 3 - FISCHE UND KREBSTIERE, WEICHTIERE UND ANDERE WIRBELLOSE WASSERTIERE: Fische, getrocknet, gesalzen oder in Salzlake; Fische, geräuchert, auch vor oder während des Räucherns gegart: Fische, geräuchert, einschließlich Fischfilets, ausgenommen genießbare Fischnebenerzeugnisse: andere: andere</t>
  </si>
  <si>
    <t>KAPITEL 3 - FISCHE UND KREBSTIERE, WEICHTIERE UND ANDERE WIRBELLOSE WASSERTIERE: Fische, getrocknet, gesalzen oder in Salzlake; Fische, geräuchert, auch vor oder während des Räucherns gegart; Mehl, Pulver und Pellets von Fischen, genießbar: Fische, geräuchert, einschließlich Fischfilets, ausgenommen genießbare Fischnebenerzeugnisse: andere: andere</t>
  </si>
  <si>
    <t>getrocknet, nicht gesalzen (Stockfisch)</t>
  </si>
  <si>
    <t>KAPITEL 3 - FISCHE UND KREBSTIERE, WEICHTIERE UND ANDERE WIRBELLOSE WASSERTIERE: Fische, getrocknet, gesalzen oder in Salzlake; Fische, geräuchert, auch vor oder während des Räucherns gegart: Fische, getrocknet, ausgenommen genießbare Fischnebenerzeugnisse, auch gesalzen, jedoch nicht geräuchert: Kabeljau (Gadus morhua, Gadus ogac, Gadus macrocephalus): getrocknet, nicht gesalzen (Stockfisch)</t>
  </si>
  <si>
    <t>KAPITEL 3 - FISCHE UND KREBSTIERE, WEICHTIERE UND ANDERE WIRBELLOSE WASSERTIERE: Fische, getrocknet, gesalzen oder in Salzlake; Fische, geräuchert, auch vor oder während des Räucherns gegart; Mehl, Pulver und Pellets von Fischen, genießbar: Fische, getrocknet, ausgenommen genießbare Fischnebenerzeugnisse, auch gesalzen, jedoch nicht geräuchert: Kabeljau (Gadus morhua, Gadus ogac, Gadus macrocephalus): getrocknet, nicht gesalzen (Stockfisch)</t>
  </si>
  <si>
    <t>getrocknet und gesalzen (Klippfisch)</t>
  </si>
  <si>
    <t>KAPITEL 3 - FISCHE UND KREBSTIERE, WEICHTIERE UND ANDERE WIRBELLOSE WASSERTIERE: Fische, getrocknet, gesalzen oder in Salzlake; Fische, geräuchert, auch vor oder während des Räucherns gegart: Fische, getrocknet, ausgenommen genießbare Fischnebenerzeugnisse, auch gesalzen, jedoch nicht geräuchert: Kabeljau (Gadus morhua, Gadus ogac, Gadus macrocephalus): getrocknet und gesalzen (Klippfisch)</t>
  </si>
  <si>
    <t>KAPITEL 3 - FISCHE UND KREBSTIERE, WEICHTIERE UND ANDERE WIRBELLOSE WASSERTIERE: Fische, getrocknet, gesalzen oder in Salzlake; Fische, geräuchert, auch vor oder während des Räucherns gegart; Mehl, Pulver und Pellets von Fischen, genießbar: Fische, getrocknet, ausgenommen genießbare Fischnebenerzeugnisse, auch gesalzen, jedoch nicht geräuchert: Kabeljau (Gadus morhua, Gadus ogac, Gadus macrocephalus): getrocknet und gesalzen (Klippfisch)</t>
  </si>
  <si>
    <t>Tilapia (Oreochromis spp.), Welse (Pangasius spp., Silurus spp., Clarias spp., Ictalurus spp.), Karpfen (Cyprinus spp., Carassius spp., Ctenopharyngodon idellus, Hypophthalmichthys spp., Cirrhinus spp., Mylopharyngodon piceus, Catla catla, Labeo spp., Osteochilus hasselti, Leptobarbus hoeveni, Megalobrama spp.), Aale (Anguilla spp.), Nilbarsch (Lates niloticus) und Schlangenkopffische (Channa spp.)</t>
  </si>
  <si>
    <t>KAPITEL 3 - FISCHE UND KREBSTIERE, WEICHTIERE UND ANDERE WIRBELLOSE WASSERTIERE: Fische, getrocknet, gesalzen oder in Salzlake; Fische, geräuchert, auch vor oder während des Räucherns gegart: Fische, getrocknet, ausgenommen genießbare Fischnebenerzeugnisse, auch gesalzen, jedoch nicht geräuchert: Tilapia (Oreochromis spp.), Welse (Pangasius spp., Silurus spp., Clarias spp., Ictalurus spp.), Karpfen (Cyprinus spp., Carassius spp., Ctenopharyngodon idellus, Hypophthalmichthys spp., Cirrhinus spp., Mylopharyngodon piceus, Catla catla, Labeo spp., Osteochilus hasselti, Leptobarbus hoeveni, Megalobrama spp.), Aale (Anguilla spp.), Nilbarsch (Lates niloticus) und Schlangenkopffische (Channa spp.)</t>
  </si>
  <si>
    <t>KAPITEL 3 - FISCHE UND KREBSTIERE, WEICHTIERE UND ANDERE WIRBELLOSE WASSERTIERE: Fische, getrocknet, gesalzen oder in Salzlake; Fische, geräuchert, auch vor oder während des Räucherns gegart; Mehl, Pulver und Pellets von Fischen, genießbar: Fische, getrocknet, ausgenommen genießbare Fischnebenerzeugnisse, auch gesalzen, jedoch nicht geräuchert: Tilapia (Oreochromis spp.), Welse (Pangasius spp., Silurus spp., Clarias spp., Ictalurus spp.), Karpfen (Cyprinus spp., Carassius spp., Ctenopharyngodon idellus, Hypophthalmichthys spp., Cirrhinus spp., Mylopharyngodon piceus, Catla catla, Labeo spp., Osteochilus hasselti, Leptobarbus hoeveni, Megalobrama spp.), Aale (Anguilla spp.), Nilbarsch (Lates niloticus) und Schlangenkopffische (Channa spp.)</t>
  </si>
  <si>
    <t>Polardorsch (Boreogadus saida)</t>
  </si>
  <si>
    <t>KAPITEL 3 - FISCHE UND KREBSTIERE, WEICHTIERE UND ANDERE WIRBELLOSE WASSERTIERE: Fische, getrocknet, gesalzen oder in Salzlake; Fische, geräuchert, auch vor oder während des Räucherns gegart: Fische, getrocknet, ausgenommen genießbare Fischnebenerzeugnisse, auch gesalzen, jedoch nicht geräuchert: Fische der Familien Bregmacerotidae, Euclichthyidae, Gadidae, Macrouridae, Melanonidae, Merlucciidae, Moridae und Muraenolepididae, andere als Kabeljau (Gadus morhua, Gadus ogac, Gadus macrocephalus): Polardorsch (Boreogadus saida)</t>
  </si>
  <si>
    <t>KAPITEL 3 - FISCHE UND KREBSTIERE, WEICHTIERE UND ANDERE WIRBELLOSE WASSERTIERE: Fische, getrocknet, gesalzen oder in Salzlake; Fische, geräuchert, auch vor oder während des Räucherns gegart; Mehl, Pulver und Pellets von Fischen, genießbar: Fische, getrocknet, ausgenommen genießbare Fischnebenerzeugnisse, auch gesalzen, jedoch nicht geräuchert: Fische der Familien Bregmacerotidae, Euclichthyidae, Gadidae, Macrouridae, Melanonidae, Merlucciidae, Moridae und Muraenolepididae, andere als Kabeljau (Gadus morhua, Gadus ogac, Gadus macrocephalus): Polardorsch (Boreogadus saida)</t>
  </si>
  <si>
    <t>KAPITEL 3 - FISCHE UND KREBSTIERE, WEICHTIERE UND ANDERE WIRBELLOSE WASSERTIERE: Fische, getrocknet, gesalzen oder in Salzlake; Fische, geräuchert, auch vor oder während des Räucherns gegart: Fische, getrocknet, ausgenommen genießbare Fischnebenerzeugnisse, auch gesalzen, jedoch nicht geräuchert: Fische der Familien Bregmacerotidae, Euclichthyidae, Gadidae, Macrouridae, Melanonidae, Merlucciidae, Moridae und Muraenolepididae, andere als Kabeljau (Gadus morhua, Gadus ogac, Gadus macrocephalus): andere</t>
  </si>
  <si>
    <t>KAPITEL 3 - FISCHE UND KREBSTIERE, WEICHTIERE UND ANDERE WIRBELLOSE WASSERTIERE: Fische, getrocknet, gesalzen oder in Salzlake; Fische, geräuchert, auch vor oder während des Räucherns gegart; Mehl, Pulver und Pellets von Fischen, genießbar: Fische, getrocknet, ausgenommen genießbare Fischnebenerzeugnisse, auch gesalzen, jedoch nicht geräuchert: Fische der Familien Bregmacerotidae, Euclichthyidae, Gadidae, Macrouridae, Melanonidae, Merlucciidae, Moridae und Muraenolepididae, andere als Kabeljau (Gadus morhua, Gadus ogac, Gadus macrocephalus): andere</t>
  </si>
  <si>
    <t>KAPITEL 3 - FISCHE UND KREBSTIERE, WEICHTIERE UND ANDERE WIRBELLOSE WASSERTIERE: Fische, getrocknet, gesalzen oder in Salzlake; Fische, geräuchert, auch vor oder während des Räucherns gegart: Fische, getrocknet, ausgenommen genießbare Fischnebenerzeugnisse, auch gesalzen, jedoch nicht geräuchert: Heringe (Clupea harengus, Clupea pallasii), Sardellen (Engraulis spp.), Sardinen (Sardina pilchardus, Sardinops spp.), Sardinellen (Sardinella spp.), Sprotten (Sprattus sprattus), Makrelen (Scomber scombrus, Scomber australasicus, Scomber japonicus), Indische Makrelen (Rastrelliger spp.), Seerfische (Scomberomorus spp.), Jack und Stöcker (Bastardmakrelen) (Trachurus spp.), Buchsen, Crevallen (Caranx spp.), Offiziersbarsch (Rachycentron canadum), Silber Butterfische (Pampus spp.), Pazifischer Makrelenhecht (Cololabis saira), Scads (Decapterus spp.), Lodde (Mallotus villosus), Schwertfisch (Xiphias gladius), Kawakawa (Euthynnus affinis), Bonitos (Sarda spp.), Marline, Segelfische, Speerfische (Istiophoridae): Heringe (Clupea harengus, Clupea pallasii)</t>
  </si>
  <si>
    <t>KAPITEL 3 - FISCHE UND KREBSTIERE, WEICHTIERE UND ANDERE WIRBELLOSE WASSERTIERE: Fische, getrocknet, gesalzen oder in Salzlake; Fische, geräuchert, auch vor oder während des Räucherns gegart; Mehl, Pulver und Pellets von Fischen, genießbar: Fische, getrocknet, ausgenommen genießbare Fischnebenerzeugnisse, auch gesalzen, jedoch nicht geräuchert: Heringe (Clupea harengus, Clupea pallasii), Sardellen (Engraulis spp.), Sardinen (Sardina pilchardus, Sardinops spp.), Sardinellen (Sardinella spp.), Sprotten (Sprattus sprattus), Makrelen (Scomber scombrus, Scomber australasicus, Scomber japonicus), Indische Makrelen (Rastrelliger spp.), Seerfische (Scomberomorus spp.), Jack und Stöcker (Bastardmakrelen) (Trachurus spp.), Buchsen, Crevallen (Caranx spp.), Offiziersbarsch (Rachycentron canadum), Silber Butterfische (Pampus spp.), Pazifischer Makrelenhecht (Cololabis saira), Scads (Decapterus spp.), Lodde (Mallotus villosus), Schwertfisch (Xiphias gladius), Kawakawa (Euthynnus affinis), Bonitos (Sarda spp.), Marline, Segelfische, Speerfische (Istiophoridae): Heringe (Clupea harengus, Clupea pallasii)</t>
  </si>
  <si>
    <t>Sardellen (Engraulis spp.)</t>
  </si>
  <si>
    <t>KAPITEL 3 - FISCHE UND KREBSTIERE, WEICHTIERE UND ANDERE WIRBELLOSE WASSERTIERE: Fische, getrocknet, gesalzen oder in Salzlake; Fische, geräuchert, auch vor oder während des Räucherns gegart: Fische, getrocknet, ausgenommen genießbare Fischnebenerzeugnisse, auch gesalzen, jedoch nicht geräuchert: Heringe (Clupea harengus, Clupea pallasii), Sardellen (Engraulis spp.), Sardinen (Sardina pilchardus, Sardinops spp.), Sardinellen (Sardinella spp.), Sprotten (Sprattus sprattus), Makrelen (Scomber scombrus, Scomber australasicus, Scomber japonicus), Indische Makrelen (Rastrelliger spp.), Seerfische (Scomberomorus spp.), Jack und Stöcker (Bastardmakrelen) (Trachurus spp.), Buchsen, Crevallen (Caranx spp.), Offiziersbarsch (Rachycentron canadum), Silber Butterfische (Pampus spp.), Pazifischer Makrelenhecht (Cololabis saira), Scads (Decapterus spp.), Lodde (Mallotus villosus), Schwertfisch (Xiphias gladius), Kawakawa (Euthynnus affinis), Bonitos (Sarda spp.), Marline, Segelfische, Speerfische (Istiophoridae): Sardellen (Engraulis spp.)</t>
  </si>
  <si>
    <t>KAPITEL 3 - FISCHE UND KREBSTIERE, WEICHTIERE UND ANDERE WIRBELLOSE WASSERTIERE: Fische, getrocknet, gesalzen oder in Salzlake; Fische, geräuchert, auch vor oder während des Räucherns gegart; Mehl, Pulver und Pellets von Fischen, genießbar: Fische, getrocknet, ausgenommen genießbare Fischnebenerzeugnisse, auch gesalzen, jedoch nicht geräuchert: Heringe (Clupea harengus, Clupea pallasii), Sardellen (Engraulis spp.), Sardinen (Sardina pilchardus, Sardinops spp.), Sardinellen (Sardinella spp.), Sprotten (Sprattus sprattus), Makrelen (Scomber scombrus, Scomber australasicus, Scomber japonicus), Indische Makrelen (Rastrelliger spp.), Seerfische (Scomberomorus spp.), Jack und Stöcker (Bastardmakrelen) (Trachurus spp.), Buchsen, Crevallen (Caranx spp.), Offiziersbarsch (Rachycentron canadum), Silber Butterfische (Pampus spp.), Pazifischer Makrelenhecht (Cololabis saira), Scads (Decapterus spp.), Lodde (Mallotus villosus), Schwertfisch (Xiphias gladius), Kawakawa (Euthynnus affinis), Bonitos (Sarda spp.), Marline, Segelfische, Speerfische (Istiophoridae): Sardellen (Engraulis spp.)</t>
  </si>
  <si>
    <t>KAPITEL 3 - FISCHE UND KREBSTIERE, WEICHTIERE UND ANDERE WIRBELLOSE WASSERTIERE: Fische, getrocknet, gesalzen oder in Salzlake; Fische, geräuchert, auch vor oder während des Räucherns gegart: Fische, getrocknet, ausgenommen genießbare Fischnebenerzeugnisse, auch gesalzen, jedoch nicht geräuchert: Heringe (Clupea harengus, Clupea pallasii), Sardellen (Engraulis spp.), Sardinen (Sardina pilchardus, Sardinops spp.), Sardinellen (Sardinella spp.), Sprotten (Sprattus sprattus), Makrelen (Scomber scombrus, Scomber australasicus, Scomber japonicus), Indische Makrelen (Rastrelliger spp.), Seerfische (Scomberomorus spp.), Jack und Stöcker (Bastardmakrelen) (Trachurus spp.), Buchsen, Crevallen (Caranx spp.), Offiziersbarsch (Rachycentron canadum), Silber Butterfische (Pampus spp.), Pazifischer Makrelenhecht (Cololabis saira), Scads (Decapterus spp.), Lodde (Mallotus villosus), Schwertfisch (Xiphias gladius), Kawakawa (Euthynnus affinis), Bonitos (Sarda spp.), Marline, Segelfische, Speerfische (Istiophoridae): andere</t>
  </si>
  <si>
    <t>KAPITEL 3 - FISCHE UND KREBSTIERE, WEICHTIERE UND ANDERE WIRBELLOSE WASSERTIERE: Fische, getrocknet, gesalzen oder in Salzlake; Fische, geräuchert, auch vor oder während des Räucherns gegart; Mehl, Pulver und Pellets von Fischen, genießbar: Fische, getrocknet, ausgenommen genießbare Fischnebenerzeugnisse, auch gesalzen, jedoch nicht geräuchert: Heringe (Clupea harengus, Clupea pallasii), Sardellen (Engraulis spp.), Sardinen (Sardina pilchardus, Sardinops spp.), Sardinellen (Sardinella spp.), Sprotten (Sprattus sprattus), Makrelen (Scomber scombrus, Scomber australasicus, Scomber japonicus), Indische Makrelen (Rastrelliger spp.), Seerfische (Scomberomorus spp.), Jack und Stöcker (Bastardmakrelen) (Trachurus spp.), Buchsen, Crevallen (Caranx spp.), Offiziersbarsch (Rachycentron canadum), Silber Butterfische (Pampus spp.), Pazifischer Makrelenhecht (Cololabis saira), Scads (Decapterus spp.), Lodde (Mallotus villosus), Schwertfisch (Xiphias gladius), Kawakawa (Euthynnus affinis), Bonitos (Sarda spp.), Marline, Segelfische, Speerfische (Istiophoridae): andere</t>
  </si>
  <si>
    <t>KAPITEL 3 - FISCHE UND KREBSTIERE, WEICHTIERE UND ANDERE WIRBELLOSE WASSERTIERE: Fische, getrocknet, gesalzen oder in Salzlake; Fische, geräuchert, auch vor oder während des Räucherns gegart: Fische, getrocknet, ausgenommen genießbare Fischnebenerzeugnisse, auch gesalzen, jedoch nicht geräuchert: andere: Atlantischer Heilbutt (Hippoglossus hippoglossus)</t>
  </si>
  <si>
    <t>KAPITEL 3 - FISCHE UND KREBSTIERE, WEICHTIERE UND ANDERE WIRBELLOSE WASSERTIERE: Fische, getrocknet, gesalzen oder in Salzlake; Fische, geräuchert, auch vor oder während des Räucherns gegart; Mehl, Pulver und Pellets von Fischen, genießbar: Fische, getrocknet, ausgenommen genießbare Fischnebenerzeugnisse, auch gesalzen, jedoch nicht geräuchert: andere: Atlantischer Heilbutt (Hippoglossus hippoglossus)</t>
  </si>
  <si>
    <t>KAPITEL 3 - FISCHE UND KREBSTIERE, WEICHTIERE UND ANDERE WIRBELLOSE WASSERTIERE: Fische, getrocknet, gesalzen oder in Salzlake; Fische, geräuchert, auch vor oder während des Räucherns gegart: Fische, getrocknet, ausgenommen genießbare Fischnebenerzeugnisse, auch gesalzen, jedoch nicht geräuchert: andere: andere</t>
  </si>
  <si>
    <t>KAPITEL 3 - FISCHE UND KREBSTIERE, WEICHTIERE UND ANDERE WIRBELLOSE WASSERTIERE: Fische, getrocknet, gesalzen oder in Salzlake; Fische, geräuchert, auch vor oder während des Räucherns gegart; Mehl, Pulver und Pellets von Fischen, genießbar: Fische, getrocknet, ausgenommen genießbare Fischnebenerzeugnisse, auch gesalzen, jedoch nicht geräuchert: andere: andere</t>
  </si>
  <si>
    <t>KAPITEL 3 - FISCHE UND KREBSTIERE, WEICHTIERE UND ANDERE WIRBELLOSE WASSERTIERE: Fische, getrocknet, gesalzen oder in Salzlake; Fische, geräuchert, auch vor oder während des Räucherns gegart: Fische, gesalzen, jedoch weder getrocknet noch geräuchert, und Fische in Salzlake, ausgenommen genießbare Fischnebenerzeugnisse: Heringe (Clupea harengus, Clupea pallasii)</t>
  </si>
  <si>
    <t>KAPITEL 3 - FISCHE UND KREBSTIERE, WEICHTIERE UND ANDERE WIRBELLOSE WASSERTIERE: Fische, getrocknet, gesalzen oder in Salzlake; Fische, geräuchert, auch vor oder während des Räucherns gegart; Mehl, Pulver und Pellets von Fischen, genießbar: Fische, gesalzen, jedoch weder getrocknet noch geräuchert, und Fische in Salzlake, ausgenommen genießbare Fischnebenerzeugnisse: Heringe (Clupea harengus, Clupea pallasii)</t>
  </si>
  <si>
    <t>Kabeljau (Gadus morhua, Gadus ogac, Gadus macrocephalus)</t>
  </si>
  <si>
    <t>KAPITEL 3 - FISCHE UND KREBSTIERE, WEICHTIERE UND ANDERE WIRBELLOSE WASSERTIERE: Fische, getrocknet, gesalzen oder in Salzlake; Fische, geräuchert, auch vor oder während des Räucherns gegart: Fische, gesalzen, jedoch weder getrocknet noch geräuchert, und Fische in Salzlake, ausgenommen genießbare Fischnebenerzeugnisse: Kabeljau (Gadus morhua, Gadus ogac, Gadus macrocephalus)</t>
  </si>
  <si>
    <t>KAPITEL 3 - FISCHE UND KREBSTIERE, WEICHTIERE UND ANDERE WIRBELLOSE WASSERTIERE: Fische, getrocknet, gesalzen oder in Salzlake; Fische, geräuchert, auch vor oder während des Räucherns gegart; Mehl, Pulver und Pellets von Fischen, genießbar: Fische, gesalzen, jedoch weder getrocknet noch geräuchert, und Fische in Salzlake, ausgenommen genießbare Fischnebenerzeugnisse: Kabeljau (Gadus morhua, Gadus ogac, Gadus macrocephalus)</t>
  </si>
  <si>
    <t>KAPITEL 3 - FISCHE UND KREBSTIERE, WEICHTIERE UND ANDERE WIRBELLOSE WASSERTIERE: Fische, getrocknet, gesalzen oder in Salzlake; Fische, geräuchert, auch vor oder während des Räucherns gegart: Fische, gesalzen, jedoch weder getrocknet noch geräuchert, und Fische in Salzlake, ausgenommen genießbare Fischnebenerzeugnisse: Sardellen (Engraulis spp.)</t>
  </si>
  <si>
    <t>KAPITEL 3 - FISCHE UND KREBSTIERE, WEICHTIERE UND ANDERE WIRBELLOSE WASSERTIERE: Fische, getrocknet, gesalzen oder in Salzlake; Fische, geräuchert, auch vor oder während des Räucherns gegart; Mehl, Pulver und Pellets von Fischen, genießbar: Fische, gesalzen, jedoch weder getrocknet noch geräuchert, und Fische in Salzlake, ausgenommen genießbare Fischnebenerzeugnisse: Sardellen (Engraulis spp.)</t>
  </si>
  <si>
    <t>KAPITEL 3 - FISCHE UND KREBSTIERE, WEICHTIERE UND ANDERE WIRBELLOSE WASSERTIERE: Fische, getrocknet, gesalzen oder in Salzlake; Fische, geräuchert, auch vor oder während des Räucherns gegart: Fische, gesalzen, jedoch weder getrocknet noch geräuchert, und Fische in Salzlake, ausgenommen genießbare Fischnebenerzeugnisse: Tilapia (Oreochromis spp.), Welse (Pangasius spp., Silurus spp., Clarias spp., Ictalurus spp.), Karpfen (Cyprinus spp., Carassius spp., Ctenopharyngodon idellus, Hypophthalmichthys spp., Cirrhinus spp., Mylopharyngodon piceus, Catla catla, Labeo spp., Osteochilus hasselti, Leptobarbus hoeveni, Megalobrama spp.), Aale (Anguilla spp.), Nilbarsch (Lates niloticus) und Schlangenkopffische (Channa spp.)</t>
  </si>
  <si>
    <t>KAPITEL 3 - FISCHE UND KREBSTIERE, WEICHTIERE UND ANDERE WIRBELLOSE WASSERTIERE: Fische, getrocknet, gesalzen oder in Salzlake; Fische, geräuchert, auch vor oder während des Räucherns gegart; Mehl, Pulver und Pellets von Fischen, genießbar: Fische, gesalzen, jedoch weder getrocknet noch geräuchert, und Fische in Salzlake, ausgenommen genießbare Fischnebenerzeugnisse: Tilapia (Oreochromis spp.), Welse (Pangasius spp., Silurus spp., Clarias spp., Ictalurus spp.), Karpfen (Cyprinus spp., Carassius spp., Ctenopharyngodon idellus, Hypophthalmichthys spp., Cirrhinus spp., Mylopharyngodon piceus, Catla catla, Labeo spp., Osteochilus hasselti, Leptobarbus hoeveni, Megalobrama spp.), Aale (Anguilla spp.), Nilbarsch (Lates niloticus) und Schlangenkopffische (Channa spp.)</t>
  </si>
  <si>
    <t>KAPITEL 3 - FISCHE UND KREBSTIERE, WEICHTIERE UND ANDERE WIRBELLOSE WASSERTIERE: Fische, getrocknet, gesalzen oder in Salzlake; Fische, geräuchert, auch vor oder während des Räucherns gegart: Fische, gesalzen, jedoch weder getrocknet noch geräuchert, und Fische in Salzlake, ausgenommen genießbare Fischnebenerzeugnisse: andere: Polardorsch (Boreogadus saida)</t>
  </si>
  <si>
    <t>KAPITEL 3 - FISCHE UND KREBSTIERE, WEICHTIERE UND ANDERE WIRBELLOSE WASSERTIERE: Fische, getrocknet, gesalzen oder in Salzlake; Fische, geräuchert, auch vor oder während des Räucherns gegart; Mehl, Pulver und Pellets von Fischen, genießbar: Fische, gesalzen, jedoch weder getrocknet noch geräuchert, und Fische in Salzlake, ausgenommen genießbare Fischnebenerzeugnisse: andere: Polardorsch (Boreogadus saida)</t>
  </si>
  <si>
    <t>KAPITEL 3 - FISCHE UND KREBSTIERE, WEICHTIERE UND ANDERE WIRBELLOSE WASSERTIERE: Fische, getrocknet, gesalzen oder in Salzlake; Fische, geräuchert, auch vor oder während des Räucherns gegart: Fische, gesalzen, jedoch weder getrocknet noch geräuchert, und Fische in Salzlake, ausgenommen genießbare Fischnebenerzeugnisse: andere: Atlantischer Heilbutt (Hippoglossus hippoglossus)</t>
  </si>
  <si>
    <t>KAPITEL 3 - FISCHE UND KREBSTIERE, WEICHTIERE UND ANDERE WIRBELLOSE WASSERTIERE: Fische, getrocknet, gesalzen oder in Salzlake; Fische, geräuchert, auch vor oder während des Räucherns gegart; Mehl, Pulver und Pellets von Fischen, genießbar: Fische, gesalzen, jedoch weder getrocknet noch geräuchert, und Fische in Salzlake, ausgenommen genießbare Fischnebenerzeugnisse: andere: Atlantischer Heilbutt (Hippoglossus hippoglossus)</t>
  </si>
  <si>
    <t>KAPITEL 3 - FISCHE UND KREBSTIERE, WEICHTIERE UND ANDERE WIRBELLOSE WASSERTIERE: Fische, getrocknet, gesalzen oder in Salzlake; Fische, geräuchert, auch vor oder während des Räucherns gegart: Fische, gesalzen, jedoch weder getrocknet noch geräuchert, und Fische in Salzlake, ausgenommen genießbare Fischnebenerzeugnisse: andere: Pazifischer Lachs (Oncorhynchus nerka, Oncorhynchus gorbuscha, Oncorhynchus keta, Oncorhynchus tschawytscha, Oncorhynchus kisutch, Oncorhynchus masou und Oncorhynchus rhodurus), Atlantischer Lachs (Salmo salar) und Donaulachs (Hucho hucho)</t>
  </si>
  <si>
    <t>KAPITEL 3 - FISCHE UND KREBSTIERE, WEICHTIERE UND ANDERE WIRBELLOSE WASSERTIERE: Fische, getrocknet, gesalzen oder in Salzlake; Fische, geräuchert, auch vor oder während des Räucherns gegart; Mehl, Pulver und Pellets von Fischen, genießbar: Fische, gesalzen, jedoch weder getrocknet noch geräuchert, und Fische in Salzlake, ausgenommen genießbare Fischnebenerzeugnisse: andere: Pazifischer Lachs (Oncorhynchus nerka, Oncorhynchus gorbuscha, Oncorhynchus keta, Oncorhynchus tschawytscha, Oncorhynchus kisutch, Oncorhynchus masou und Oncorhynchus rhodurus), Atlantischer Lachs (Salmo salar) und Donaulachs (Hucho hucho)</t>
  </si>
  <si>
    <t>KAPITEL 3 - FISCHE UND KREBSTIERE, WEICHTIERE UND ANDERE WIRBELLOSE WASSERTIERE: Fische, getrocknet, gesalzen oder in Salzlake; Fische, geräuchert, auch vor oder während des Räucherns gegart: Fische, gesalzen, jedoch weder getrocknet noch geräuchert, und Fische in Salzlake, ausgenommen genießbare Fischnebenerzeugnisse: andere: andere</t>
  </si>
  <si>
    <t>KAPITEL 3 - FISCHE UND KREBSTIERE, WEICHTIERE UND ANDERE WIRBELLOSE WASSERTIERE: Fische, getrocknet, gesalzen oder in Salzlake; Fische, geräuchert, auch vor oder während des Räucherns gegart; Mehl, Pulver und Pellets von Fischen, genießbar: Fische, gesalzen, jedoch weder getrocknet noch geräuchert, und Fische in Salzlake, ausgenommen genießbare Fischnebenerzeugnisse: andere: andere</t>
  </si>
  <si>
    <t>Haifischflossen</t>
  </si>
  <si>
    <t>KAPITEL 3 - FISCHE UND KREBSTIERE, WEICHTIERE UND ANDERE WIRBELLOSE WASSERTIERE: Fische, getrocknet, gesalzen oder in Salzlake; Fische, geräuchert, auch vor oder während des Räucherns gegart: Fischflossen, Fischköpfe, Fischschwänze, Fischblasen und andere genießbare Fischnebenerzeugnisse: Haifischflossen</t>
  </si>
  <si>
    <t>KAPITEL 3 - FISCHE UND KREBSTIERE, WEICHTIERE UND ANDERE WIRBELLOSE WASSERTIERE: Fische, getrocknet, gesalzen oder in Salzlake; Fische, geräuchert, auch vor oder während des Räucherns gegart; Mehl, Pulver und Pellets von Fischen, genießbar: Fischflossen, Fischköpfe, Fischschwänze, Fischblasen und andere genießbare Fischnebenerzeugnisse: Haifischflossen</t>
  </si>
  <si>
    <t>Fischköpfe, Fischschwänze und Fischblasen</t>
  </si>
  <si>
    <t>KAPITEL 3 - FISCHE UND KREBSTIERE, WEICHTIERE UND ANDERE WIRBELLOSE WASSERTIERE: Fische, getrocknet, gesalzen oder in Salzlake; Fische, geräuchert, auch vor oder während des Räucherns gegart: Fischflossen, Fischköpfe, Fischschwänze, Fischblasen und andere genießbare Fischnebenerzeugnisse: Fischköpfe, Fischschwänze und Fischblasen</t>
  </si>
  <si>
    <t>KAPITEL 3 - FISCHE UND KREBSTIERE, WEICHTIERE UND ANDERE WIRBELLOSE WASSERTIERE: Fische, getrocknet, gesalzen oder in Salzlake; Fische, geräuchert, auch vor oder während des Räucherns gegart; Mehl, Pulver und Pellets von Fischen, genießbar: Fischflossen, Fischköpfe, Fischschwänze, Fischblasen und andere genießbare Fischnebenerzeugnisse: Fischköpfe, Fischschwänze und Fischblasen</t>
  </si>
  <si>
    <t>KAPITEL 3 - FISCHE UND KREBSTIERE, WEICHTIERE UND ANDERE WIRBELLOSE WASSERTIERE: Fische, getrocknet, gesalzen oder in Salzlake; Fische, geräuchert, auch vor oder während des Räucherns gegart: Fischflossen, Fischköpfe, Fischschwänze, Fischblasen und andere genießbare Fischnebenerzeugnisse: andere</t>
  </si>
  <si>
    <t>KAPITEL 3 - FISCHE UND KREBSTIERE, WEICHTIERE UND ANDERE WIRBELLOSE WASSERTIERE: Fische, getrocknet, gesalzen oder in Salzlake; Fische, geräuchert, auch vor oder während des Räucherns gegart; Mehl, Pulver und Pellets von Fischen, genießbar: Fischflossen, Fischköpfe, Fischschwänze, Fischblasen und andere genießbare Fischnebenerzeugnisse: andere</t>
  </si>
  <si>
    <t>Langustenschwänze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</si>
  <si>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Langusten (Palinurus spp., Panulirus spp., Jasus spp.): Langustenschwänze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</si>
  <si>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Langusten (Palinurus spp., Panulirus spp., Jasus spp.): Langustenschwänze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</si>
  <si>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Langusten (Palinurus spp., Panulirus spp., Jasus spp.):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</si>
  <si>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Langusten (Palinurus spp., Panulirus spp., Jasus spp.): andere</t>
  </si>
  <si>
    <t>ganz</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</si>
  <si>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Hummer (Homarus spp.): ganz</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</si>
  <si>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Hummer (Homarus spp.): ganz</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</si>
  <si>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Hummer (Homarus spp.):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</si>
  <si>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Hummer (Homarus spp.): andere</t>
  </si>
  <si>
    <t xml:space="preserve">Krabben der Arten Paralithodes camchaticus, Chionoecetes spp. oder Callinectes sapidus </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</si>
  <si>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Krabben: Krabben der Arten Paralithodes camchaticus, Chionoecetes spp. oder Callinectes sapidus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</si>
  <si>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Krabben: Krabben der Arten Paralithodes camchaticus, Chionoecetes spp. oder Callinectes sapidus</t>
  </si>
  <si>
    <t>Taschenkrebse der Art Cancer pagurus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</si>
  <si>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Krabben: Taschenkrebse der Art Cancer pagurus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</si>
  <si>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Krabben: Taschenkrebse der Art Cancer pagurus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</si>
  <si>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Krabben: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</si>
  <si>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Krabben: andere</t>
  </si>
  <si>
    <t>Kaisergranate (Nephrops norvegicus)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</si>
  <si>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Kaisergranate (Nephrops norvegicus)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</si>
  <si>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Kaisergranate (Nephrops norvegicus)</t>
  </si>
  <si>
    <t>Garnelen der Art Crangon crangon</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</si>
  <si>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Kaltwassergarnelen (Pandalus spp., Crangon crangon): Garnelen der Art Crangon crangon</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</si>
  <si>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Kaltwassergarnelen (Pandalus spp., Crangon crangon): Garnelen der Art Crangon crangon</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</si>
  <si>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Kaltwassergarnelen (Pandalus spp., Crangon crangon):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</si>
  <si>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Kaltwassergarnelen (Pandalus spp., Crangon crangon): andere</t>
  </si>
  <si>
    <t>Rosa Geißelgarnelen (Parapenaeus longirostris)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</si>
  <si>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andere Garnelen: Rosa Geißelgarnelen (Parapenaeus longirostris)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</si>
  <si>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andere Garnelen: Rosa Geißelgarnelen (Parapenaeus longirostris)</t>
  </si>
  <si>
    <t>Garnelen der Gattung Penaeus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</si>
  <si>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andere Garnelen: Garnelen der Gattung Penaeus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</si>
  <si>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andere Garnelen: Garnelen der Gattung Penaeus</t>
  </si>
  <si>
    <t>Garnelen der Familie Pandalidae, andere als der Gattung Pandalus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</si>
  <si>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andere Garnelen: Garnelen der Familie Pandalidae, andere als der Gattung Pandalus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</si>
  <si>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andere Garnelen: Garnelen der Familie Pandalidae, andere als der Gattung Pandalus</t>
  </si>
  <si>
    <t>Garnelen der Gattung Crangon, andere als der Art Crangon crangon</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</si>
  <si>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andere Garnelen: Garnelen der Gattung Crangon, andere als der Art Crangon crangon</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</si>
  <si>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andere Garnelen: Garnelen der Gattung Crangon, andere als der Art Crangon crangon</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</si>
  <si>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andere Garnelen: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</si>
  <si>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andere Garnelen: andere</t>
  </si>
  <si>
    <t>Süßwasserkrebse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</si>
  <si>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andere: Süßwasserkrebse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</si>
  <si>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andere, einschließlich Mehl, Pulver und Pellets von Krebstieren, genießbar: Süßwasserkrebse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</si>
  <si>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gefroren: andere: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</si>
  <si>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gefroren: andere, einschließlich Mehl, Pulver und Pellets von Krebstieren, genießbar: andere</t>
  </si>
  <si>
    <t>Langusten (Palinurus spp., Panulirus spp., Jasus spp.)</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</si>
  <si>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Langusten (Palinurus spp., Panulirus spp., Jasus spp.)</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</si>
  <si>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Langusten (Palinurus spp., Panulirus spp., Jasus spp.)</t>
  </si>
  <si>
    <t>lebend</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</si>
  <si>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Hummer (Homarus spp.): lebend</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</si>
  <si>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Hummer (Homarus spp.): lebend</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</si>
  <si>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Hummer (Homarus spp.): andere: ganz</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</si>
  <si>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Hummer (Homarus spp.): andere: ganz</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</si>
  <si>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Hummer (Homarus spp.): andere: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</si>
  <si>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Hummer (Homarus spp.): andere: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</si>
  <si>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Krabben: Taschenkrebse der Art Cancer pagurus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</si>
  <si>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Krabben: Taschenkrebse der Art Cancer pagurus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</si>
  <si>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Krabben: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</si>
  <si>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Krabben: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</si>
  <si>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Kaisergranate (Nephrops norvegicus)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</si>
  <si>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Kaisergranate (Nephrops norvegicus)</t>
  </si>
  <si>
    <t>frisch oder gekühlt</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</si>
  <si>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Kaltwassergarnelen (Pandalus spp., Crangon crangon): Garnelen der Art Crangon crangon: frisch oder gekühlt</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</si>
  <si>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Kaltwassergarnelen (Pandalus spp., Crangon crangon): Garnelen der Art Crangon crangon: frisch oder gekühlt</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</si>
  <si>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Kaltwassergarnelen (Pandalus spp., Crangon crangon): Garnelen der Art Crangon crangon: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</si>
  <si>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Kaltwassergarnelen (Pandalus spp., Crangon crangon): Garnelen der Art Crangon crangon: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</si>
  <si>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Kaltwassergarnelen (Pandalus spp., Crangon crangon):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</si>
  <si>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Kaltwassergarnelen (Pandalus spp., Crangon crangon):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</si>
  <si>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andere Garnelen: Garnelen der Familie Pandalidae, andere als der Gattung Pandalus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</si>
  <si>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andere Garnelen: Garnelen der Familie Pandalidae, andere als der Gattung Pandalus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</si>
  <si>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andere Garnelen: Garnelen der Gattung Crangon, andere als der Art Crangon crangon</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</si>
  <si>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andere Garnelen: Garnelen der Gattung Crangon, andere als der Art Crangon crangon</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</si>
  <si>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andere Garnelen: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</si>
  <si>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andere Garnelen: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</si>
  <si>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andere: Süßwasserkrebse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</si>
  <si>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andere, einschließlich Mehl, Pulver und Pellets von Krebstieren, genießbar: Süßwasserkrebse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</si>
  <si>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lebend, frisch oder gekühlt: andere: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</si>
  <si>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lebend, frisch oder gekühlt: andere, einschließlich Mehl, Pulver und Pellets von Krebstieren, genießbar: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</si>
  <si>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andere: Langusten (Palinurus spp., Panulirus spp., Jasus spp.)</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</si>
  <si>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andere: Langusten (Palinurus spp., Panulirus spp., Jasus spp.)</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</si>
  <si>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andere: Hummer (Homarus spp.): ganz</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</si>
  <si>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andere: Hummer (Homarus spp.): ganz</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</si>
  <si>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andere: Hummer (Homarus spp.):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</si>
  <si>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andere: Hummer (Homarus spp.):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</si>
  <si>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andere: Krabben: Taschenkrebse der Art Cancer pagurus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</si>
  <si>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andere: Krabben: Taschenkrebse der Art Cancer pagurus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</si>
  <si>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andere: Krabben: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</si>
  <si>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andere: Krabben: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</si>
  <si>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andere: Kaisergranate (Nephrops norvegicus)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</si>
  <si>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andere: Kaisergranate (Nephrops norvegicus)</t>
  </si>
  <si>
    <t>nur in Wasser oder Dampf gekocht</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</si>
  <si>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andere: Garnelen: Kaltwassergarnelen (Pandalus spp., Crangon crangon): Garnelen der Art Crangon crangon: nur in Wasser oder Dampf gekocht</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</si>
  <si>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andere: Garnelen: Kaltwassergarnelen (Pandalus spp., Crangon crangon): Garnelen der Art Crangon crangon: nur in Wasser oder Dampf gekocht</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</si>
  <si>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andere: Garnelen: Kaltwassergarnelen (Pandalus spp., Crangon crangon): Garnelen der Art Crangon crangon: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</si>
  <si>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andere: Garnelen: Kaltwassergarnelen (Pandalus spp., Crangon crangon): Garnelen der Art Crangon crangon: andere</t>
  </si>
  <si>
    <t>Garnelen der Gattung Pandalus spp.</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</si>
  <si>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andere: Garnelen: Kaltwassergarnelen (Pandalus spp., Crangon crangon): Garnelen der Gattung Pandalus spp.</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</si>
  <si>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andere: Garnelen: Kaltwassergarnelen (Pandalus spp., Crangon crangon): Garnelen der Gattung Pandalus spp.</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</si>
  <si>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andere: Garnelen: andere Garnelen: Garnelen der Familie Pandalidae, andere als der Gattung Pandalus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</si>
  <si>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andere: Garnelen: andere Garnelen: Garnelen der Familie Pandalidae, andere als der Gattung Pandalus</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</si>
  <si>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andere: Garnelen: andere Garnelen: Garnelen der Gattung Crangon, andere als der Art Crangon crangon</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</si>
  <si>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andere: Garnelen: andere Garnelen: Garnelen der Gattung Crangon, andere als der Art Crangon crangon</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</si>
  <si>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andere: Garnelen: andere Garnelen: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</si>
  <si>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andere: Garnelen: andere Garnelen: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</si>
  <si>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andere: andere: Süßwasserkrebse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</si>
  <si>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andere: andere, einschließlich Mehl, Pulver und Pellets von Krebstieren, genießbar: Süßwasserkrebse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</si>
  <si>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andere: andere: andere</t>
  </si>
  <si>
    <t>KAPITEL 3 - FISCHE UND KREBSTIERE, WEICHTIERE UND ANDERE WIRBELLOSE WASSERTIERE: Krebstiere, auch ohne Panzer, lebend, frisch, gekühlt, gefroren, getrocknet, gesalzen oder in Salzlake; Krebstiere, auch ohne Panzer, geräuchert, auch vor oder während des Räucherns gegart; Krebstiere in ihrem Panzer, in Wasser oder Dampf gekocht, auch gekühlt, gefroren, getrocknet, gesalzen oder in Salzlake; Mehl, Pulver und Pellets von Krebstieren, genießbar: andere: andere, einschließlich Mehl, Pulver und Pellets von Krebstieren, genießbar: andere</t>
  </si>
  <si>
    <t>flache Austern (Ostrea spp.), lebend, mit einem Stückgewicht einschließlich Schale von 40 g oder weniger</t>
  </si>
  <si>
    <t>KAPITEL 3 - FISCHE UND KREBSTIERE, WEICHTIERE UND ANDERE WIRBELLOSE WASSERTIERE: Weichtiere, auch ohne Schale, lebend, frisch, gekühlt, gefroren, getrocknet, gesalzen oder in Salzlake; Weichtiere, auch ohne Schale, geräuchert, auch vor oder während des Räucherns gegart: Austern: lebend, frisch oder gekühlt: flache Austern (Ostrea spp.), lebend, mit einem Stückgewicht einschließlich Schale von 40 g oder weniger</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</si>
  <si>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Austern: lebend, frisch oder gekühlt: flache Austern (Ostrea spp.), lebend, mit einem Stückgewicht einschließlich Schale von 40 g oder weniger</t>
  </si>
  <si>
    <t>KAPITEL 3 - FISCHE UND KREBSTIERE, WEICHTIERE UND ANDERE WIRBELLOSE WASSERTIERE: Weichtiere, auch ohne Schale, lebend, frisch, gekühlt, gefroren, getrocknet, gesalzen oder in Salzlake; Weichtiere, auch ohne Schale, geräuchert, auch vor oder während des Räucherns gegart: Austern: lebend, frisch oder gekühlt: andere</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</si>
  <si>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Austern: lebend, frisch oder gekühlt: andere</t>
  </si>
  <si>
    <t>gefroren</t>
  </si>
  <si>
    <t>KAPITEL 3 - FISCHE UND KREBSTIERE, WEICHTIERE UND ANDERE WIRBELLOSE WASSERTIERE: Weichtiere, auch ohne Schale, lebend, frisch, gekühlt, gefroren, getrocknet, gesalzen oder in Salzlake; Weichtiere, auch ohne Schale, geräuchert, auch vor oder während des Räucherns gegart: Austern: gefroren</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</si>
  <si>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Austern: gefroren</t>
  </si>
  <si>
    <t>KAPITEL 3 - FISCHE UND KREBSTIERE, WEICHTIERE UND ANDERE WIRBELLOSE WASSERTIERE: Weichtiere, auch ohne Schale, lebend, frisch, gekühlt, gefroren, getrocknet, gesalzen oder in Salzlake; Weichtiere, auch ohne Schale, geräuchert, auch vor oder während des Räucherns gegart: Austern: andere</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</si>
  <si>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Austern: andere</t>
  </si>
  <si>
    <t>große Pilger-Muscheln (Pecten maximus)</t>
  </si>
  <si>
    <t>KAPITEL 3 - FISCHE UND KREBSTIERE, WEICHTIERE UND ANDERE WIRBELLOSE WASSERTIERE: Weichtiere, auch ohne Schale, lebend, frisch, gekühlt, gefroren, getrocknet, gesalzen oder in Salzlake; Weichtiere, auch ohne Schale, geräuchert, auch vor oder während des Räucherns gegart: Kamm-Muscheln und andere Weichtiere der Familie Pectinidae: gefroren: Kamm-Muscheln und Pilger-Muscheln der Gattungen Pecten, Chlamys oder Placopecten: große Pilger-Muscheln (Pecten maximus)</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</si>
  <si>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Kamm-Muscheln und Pilger-Muscheln der Gattungen Pecten, Chlamys oder Placopecten: gefroren: große Pilger-Muscheln (Pecten maximus)</t>
  </si>
  <si>
    <t>KAPITEL 3 - FISCHE UND KREBSTIERE, WEICHTIERE UND ANDERE WIRBELLOSE WASSERTIERE: Weichtiere, auch ohne Schale, lebend, frisch, gekühlt, gefroren, getrocknet, gesalzen oder in Salzlake; Weichtiere, auch ohne Schale, geräuchert, auch vor oder während des Räucherns gegart: Kamm-Muscheln und andere Weichtiere der Familie Pectinidae: gefroren: Kamm-Muscheln und Pilger-Muscheln der Gattungen Pecten, Chlamys oder Placopecten: andere</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</si>
  <si>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Kamm-Muscheln und Pilger-Muscheln der Gattungen Pecten, Chlamys oder Placopecten: gefroren: andere</t>
  </si>
  <si>
    <t>KAPITEL 3 - FISCHE UND KREBSTIERE, WEICHTIERE UND ANDERE WIRBELLOSE WASSERTIERE: Weichtiere, auch ohne Schale, lebend, frisch, gekühlt, gefroren, getrocknet, gesalzen oder in Salzlake; Weichtiere, auch ohne Schale, geräuchert, auch vor oder während des Räucherns gegart: Miesmuscheln (Mytilus spp., Perna spp.): lebend, frisch oder gekühlt: Mytilus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</si>
  <si>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Miesmuscheln (Mytilus spp., Perna spp.): lebend, frisch oder gekühlt: Mytilus spp.</t>
  </si>
  <si>
    <t>KAPITEL 3 - FISCHE UND KREBSTIERE, WEICHTIERE UND ANDERE WIRBELLOSE WASSERTIERE: Weichtiere, auch ohne Schale, lebend, frisch, gekühlt, gefroren, getrocknet, gesalzen oder in Salzlake; Weichtiere, auch ohne Schale, geräuchert, auch vor oder während des Räucherns gegart: Miesmuscheln (Mytilus spp., Perna spp.): lebend, frisch oder gekühlt: Perna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</si>
  <si>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Miesmuscheln (Mytilus spp., Perna spp.): lebend, frisch oder gekühlt: Perna spp.</t>
  </si>
  <si>
    <t>KAPITEL 3 - FISCHE UND KREBSTIERE, WEICHTIERE UND ANDERE WIRBELLOSE WASSERTIERE: Weichtiere, auch ohne Schale, lebend, frisch, gekühlt, gefroren, getrocknet, gesalzen oder in Salzlake; Weichtiere, auch ohne Schale, geräuchert, auch vor oder während des Räucherns gegart: Miesmuscheln (Mytilus spp., Perna spp.): gefroren: Mytilus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</si>
  <si>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Miesmuscheln (Mytilus spp., Perna spp.): gefroren: Mytilus spp.</t>
  </si>
  <si>
    <t>KAPITEL 3 - FISCHE UND KREBSTIERE, WEICHTIERE UND ANDERE WIRBELLOSE WASSERTIERE: Weichtiere, auch ohne Schale, lebend, frisch, gekühlt, gefroren, getrocknet, gesalzen oder in Salzlake; Weichtiere, auch ohne Schale, geräuchert, auch vor oder während des Räucherns gegart: Miesmuscheln (Mytilus spp., Perna spp.): gefroren: Perna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</si>
  <si>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Miesmuscheln (Mytilus spp., Perna spp.): gefroren: Perna spp.</t>
  </si>
  <si>
    <t>KAPITEL 3 - FISCHE UND KREBSTIERE, WEICHTIERE UND ANDERE WIRBELLOSE WASSERTIERE: Weichtiere, auch ohne Schale, lebend, frisch, gekühlt, gefroren, getrocknet, gesalzen oder in Salzlake; Weichtiere, auch ohne Schale, geräuchert, auch vor oder während des Räucherns gegart: Miesmuscheln (Mytilus spp., Perna spp.): andere: Mytilus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</si>
  <si>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Miesmuscheln (Mytilus spp., Perna spp.): andere: Mytilus spp.</t>
  </si>
  <si>
    <t>KAPITEL 3 - FISCHE UND KREBSTIERE, WEICHTIERE UND ANDERE WIRBELLOSE WASSERTIERE: Weichtiere, auch ohne Schale, lebend, frisch, gekühlt, gefroren, getrocknet, gesalzen oder in Salzlake; Weichtiere, auch ohne Schale, geräuchert, auch vor oder während des Räucherns gegart: Miesmuscheln (Mytilus spp., Perna spp.): andere: Perna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</si>
  <si>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Miesmuscheln (Mytilus spp., Perna spp.): andere: Perna spp.</t>
  </si>
  <si>
    <t>Tintenfische (Sepia officinalis, Rossia macrosoma, Sepiola spp.)</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</si>
  <si>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lebend, frisch oder gekühlt: Tintenfische (Sepia officinalis, Rossia macrosoma, Sepiola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</si>
  <si>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lebend, frisch oder gekühlt: Tintenfische (Sepia officinalis, Rossia macrosoma, Sepiola spp.)</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</si>
  <si>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lebend, frisch oder gekühlt: Loligo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</si>
  <si>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lebend, frisch oder gekühlt: Loligo spp.</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</si>
  <si>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lebend, frisch oder gekühlt: Ommastrephes spp., Nototodarus spp., Sepioteuthis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</si>
  <si>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lebend, frisch oder gekühlt: Ommastrephes spp., Nototodarus spp., Sepioteuthis spp.</t>
  </si>
  <si>
    <t>Pfeilkalmar (Todarodes sagittatus)</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</si>
  <si>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lebend, frisch oder gekühlt: Pfeilkalmar (Todarodes sagittatus)</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</si>
  <si>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lebend, frisch oder gekühlt: Pfeilkalmar (Todarodes sagittatus)</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</si>
  <si>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lebend, frisch oder gekühlt: andere</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</si>
  <si>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lebend, frisch oder gekühlt: andere</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</si>
  <si>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gefroren: Sepia officinalis, Rossia macrosoma, Sepiola spp.: Sepiola spp.: Sepiola rondeleti</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</si>
  <si>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gefroren: Sepia officinalis, Rossia macrosoma, Sepiola spp.: Sepiola spp.: Sepiola rondeleti</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</si>
  <si>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gefroren: Sepia officinalis, Rossia macrosoma, Sepiola spp.: Sepiola spp.: andere</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</si>
  <si>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gefroren: Sepia officinalis, Rossia macrosoma, Sepiola spp.: Sepiola spp.: andere</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</si>
  <si>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gefroren: Sepia officinalis, Rossia macrosoma, Sepiola spp.: Sepia officinalis, Rossia macrosoma</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</si>
  <si>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gefroren: Sepia officinalis, Rossia macrosoma, Sepiola spp.: Sepia officinalis, Rossia macrosoma</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</si>
  <si>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gefroren: Loligo spp.: Loligo vulgaris</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</si>
  <si>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gefroren: Loligo spp.: Loligo vulgaris</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</si>
  <si>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gefroren: Loligo spp.: Loligo pealei</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</si>
  <si>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gefroren: Loligo spp.: Loligo pealei</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</si>
  <si>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gefroren: Loligo spp.: Loligo gahi</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</si>
  <si>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gefroren: Loligo spp.: Loligo gahi</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</si>
  <si>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gefroren: Loligo spp.: andere</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</si>
  <si>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gefroren: Loligo spp.: andere</t>
  </si>
  <si>
    <t>Ommastrephes spp., ausgenommen Ommastrephes sagittatus, Nototodarus spp., Sepioteuthis spp.</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</si>
  <si>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gefroren: Ommastrephes spp., ausgenommen Ommastrephes sagittatus, Nototodarus spp., Sepioteuthis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</si>
  <si>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gefroren: Ommastrephes spp., ausgenommen Ommastrephes sagittatus, Nototodarus spp., Sepioteuthis spp.</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</si>
  <si>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gefroren: Illex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</si>
  <si>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gefroren: Illex spp.</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</si>
  <si>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gefroren: Todarodes sagittatus (Ommastrephes sagittatus)</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</si>
  <si>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gefroren: Todarodes sagittatus (Ommastrephes sagittatus)</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</si>
  <si>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gefroren: andere</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</si>
  <si>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gefroren: andere</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</si>
  <si>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andere: Sepia officinalis, Rossia macrosoma, Sepiola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</si>
  <si>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andere: Sepia officinalis, Rossia macrosoma, Sepiola spp.</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</si>
  <si>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andere: Loligo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</si>
  <si>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andere: Loligo spp.</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</si>
  <si>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andere: Ommastrephes spp., ausgenommen Ommastrephes sagittatus, Nototodarus spp., Sepioteuthis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</si>
  <si>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andere: Ommastrephes spp., ausgenommen Ommastrephes sagittatus, Nototodarus spp., Sepioteuthis spp.</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</si>
  <si>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andere: Todarodes sagittatus (Ommastrephes sagittatus)</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</si>
  <si>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andere: Todarodes sagittatus (Ommastrephes sagittatus)</t>
  </si>
  <si>
    <t>KAPITEL 3 - FISCHE UND KREBSTIERE, WEICHTIERE UND ANDERE WIRBELLOSE WASSERTIERE: Weichtiere, auch ohne Schale, lebend, frisch, gekühlt, gefroren, getrocknet, gesalzen oder in Salzlake; Weichtiere, auch ohne Schale, geräuchert, auch vor oder während des Räucherns gegart: Tintenfische und Kalmare: andere: andere</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</si>
  <si>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Tintenfische und Kalmare: andere: andere</t>
  </si>
  <si>
    <t>lebend, frisch oder gekühlt</t>
  </si>
  <si>
    <t>KAPITEL 3 - FISCHE UND KREBSTIERE, WEICHTIERE UND ANDERE WIRBELLOSE WASSERTIERE: Weichtiere, auch ohne Schale, lebend, frisch, gekühlt, gefroren, getrocknet, gesalzen oder in Salzlake; Weichtiere, auch ohne Schale, geräuchert, auch vor oder während des Räucherns gegart: Kraken (Octopus spp.): lebend, frisch oder gekühlt</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</si>
  <si>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Kraken (Octopus spp.): lebend, frisch oder gekühlt</t>
  </si>
  <si>
    <t>KAPITEL 3 - FISCHE UND KREBSTIERE, WEICHTIERE UND ANDERE WIRBELLOSE WASSERTIERE: Weichtiere, auch ohne Schale, lebend, frisch, gekühlt, gefroren, getrocknet, gesalzen oder in Salzlake; Weichtiere, auch ohne Schale, geräuchert, auch vor oder während des Räucherns gegart: Kraken (Octopus spp.): gefroren</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</si>
  <si>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Kraken (Octopus spp.): gefroren</t>
  </si>
  <si>
    <t>KAPITEL 3 - FISCHE UND KREBSTIERE, WEICHTIERE UND ANDERE WIRBELLOSE WASSERTIERE: Weichtiere, auch ohne Schale, lebend, frisch, gekühlt, gefroren, getrocknet, gesalzen oder in Salzlake; Weichtiere, auch ohne Schale, geräuchert, auch vor oder während des Räucherns gegart: Kraken (Octopus spp.): andere</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</si>
  <si>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Kraken (Octopus spp.): andere</t>
  </si>
  <si>
    <t>Schnecken, ausgenommen Meeresschnecken</t>
  </si>
  <si>
    <t>KAPITEL 3 - FISCHE UND KREBSTIERE, WEICHTIERE UND ANDERE WIRBELLOSE WASSERTIERE: Weichtiere, auch ohne Schale, lebend, frisch, gekühlt, gefroren, getrocknet, gesalzen oder in Salzlake; Weichtiere, auch ohne Schale, geräuchert, auch vor oder während des Räucherns gegart: Schnecken, ausgenommen Meeresschnecken</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</si>
  <si>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Schnecken, ausgenommen Meeresschnecken</t>
  </si>
  <si>
    <t>KAPITEL 3 - FISCHE UND KREBSTIERE, WEICHTIERE UND ANDERE WIRBELLOSE WASSERTIERE: Weichtiere, auch ohne Schale, lebend, frisch, gekühlt, gefroren, getrocknet, gesalzen oder in Salzlake; Weichtiere, auch ohne Schale, geräuchert, auch vor oder während des Räucherns gegart: Venusmuscheln, Herzmuscheln und Archenmuscheln (Familien Arcidae, Arcticidae, Cardiidae, Donacidae, Hiatellidae, Mactridae, Mesodesmatidae, Myidae, Semelidae, Solecurtidae, Solenidae, Tridacnidae und Veneridae): lebend, frisch oder gekühlt</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</si>
  <si>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Venusmuscheln, Herzmuscheln und Archenmuscheln (Familien Arcidae, Arcticidae, Cardiidae, Donacidae, Hiatellidae, Mactridae, Mesodesmatidae, Myidae, Semelidae, Solecurtidae, Solenidae, Tridacnidae und Veneridae): lebend, frisch oder gekühlt</t>
  </si>
  <si>
    <t>Sandklaffmuscheln und andere Weichtiere der Familie Veneridae</t>
  </si>
  <si>
    <t>KAPITEL 3 - FISCHE UND KREBSTIERE, WEICHTIERE UND ANDERE WIRBELLOSE WASSERTIERE: Weichtiere, auch ohne Schale, lebend, frisch, gekühlt, gefroren, getrocknet, gesalzen oder in Salzlake; Weichtiere, auch ohne Schale, geräuchert, auch vor oder während des Räucherns gegart: Venusmuscheln, Herzmuscheln und Archenmuscheln (Familien Arcidae, Arcticidae, Cardiidae, Donacidae, Hiatellidae, Mactridae, Mesodesmatidae, Myidae, Semelidae, Solecurtidae, Solenidae, Tridacnidae und Veneridae): gefroren: Sandklaffmuscheln und andere Weichtiere der Familie Veneridae</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</si>
  <si>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Venusmuscheln, Herzmuscheln und Archenmuscheln (Familien Arcidae, Arcticidae, Cardiidae, Donacidae, Hiatellidae, Mactridae, Mesodesmatidae, Myidae, Semelidae, Solecurtidae, Solenidae, Tridacnidae und Veneridae): gefroren: Sandklaffmuscheln und andere Weichtiere der Familie Veneridae</t>
  </si>
  <si>
    <t>KAPITEL 3 - FISCHE UND KREBSTIERE, WEICHTIERE UND ANDERE WIRBELLOSE WASSERTIERE: Weichtiere, auch ohne Schale, lebend, frisch, gekühlt, gefroren, getrocknet, gesalzen oder in Salzlake; Weichtiere, auch ohne Schale, geräuchert, auch vor oder während des Räucherns gegart: Venusmuscheln, Herzmuscheln und Archenmuscheln (Familien Arcidae, Arcticidae, Cardiidae, Donacidae, Hiatellidae, Mactridae, Mesodesmatidae, Myidae, Semelidae, Solecurtidae, Solenidae, Tridacnidae und Veneridae): gefroren: andere</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</si>
  <si>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Venusmuscheln, Herzmuscheln und Archenmuscheln (Familien Arcidae, Arcticidae, Cardiidae, Donacidae, Hiatellidae, Mactridae, Mesodesmatidae, Myidae, Semelidae, Solecurtidae, Solenidae, Tridacnidae und Veneridae): gefroren: andere</t>
  </si>
  <si>
    <t>KAPITEL 3 - FISCHE UND KREBSTIERE, WEICHTIERE UND ANDERE WIRBELLOSE WASSERTIERE: Weichtiere, auch ohne Schale, lebend, frisch, gekühlt, gefroren, getrocknet, gesalzen oder in Salzlake; Weichtiere, auch ohne Schale, geräuchert, auch vor oder während des Räucherns gegart: Venusmuscheln, Herzmuscheln und Archenmuscheln (Familien Arcidae, Arcticidae, Cardiidae, Donacidae, Hiatellidae, Mactridae, Mesodesmatidae, Myidae, Semelidae, Solecurtidae, Solenidae, Tridacnidae und Veneridae): andere</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</si>
  <si>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Venusmuscheln, Herzmuscheln und Archenmuscheln (Familien Arcidae, Arcticidae, Cardiidae, Donacidae, Hiatellidae, Mactridae, Mesodesmatidae, Myidae, Semelidae, Solecurtidae, Solenidae, Tridacnidae und Veneridae): andere</t>
  </si>
  <si>
    <t>Seeohren (Haliotis spp.), lebend, frisch oder gekühlt</t>
  </si>
  <si>
    <t>KAPITEL 3 - FISCHE UND KREBSTIERE, WEICHTIERE UND ANDERE WIRBELLOSE WASSERTIERE: Weichtiere, auch ohne Schale, lebend, frisch, gekühlt, gefroren, getrocknet, gesalzen oder in Salzlake; Weichtiere, auch ohne Schale, geräuchert, auch vor oder während des Räucherns gegart: Seeohren (Haliotis spp.) und Fechterschnecken (Strombus spp.): Seeohren (Haliotis spp.), lebend, frisch oder gekühlt</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</si>
  <si>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Seeohren (Haliotis spp.) und Fechterschnecken (Strombus spp.): Seeohren (Haliotis spp.), lebend, frisch oder gekühlt</t>
  </si>
  <si>
    <t>Fechterschnecken (Strombus spp.), lebend, frisch oder gekühlt</t>
  </si>
  <si>
    <t>KAPITEL 3 - FISCHE UND KREBSTIERE, WEICHTIERE UND ANDERE WIRBELLOSE WASSERTIERE: Weichtiere, auch ohne Schale, lebend, frisch, gekühlt, gefroren, getrocknet, gesalzen oder in Salzlake; Weichtiere, auch ohne Schale, geräuchert, auch vor oder während des Räucherns gegart: Seeohren (Haliotis spp.) und Fechterschnecken (Strombus spp.): Fechterschnecken (Strombus spp.), lebend, frisch oder gekühlt</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</si>
  <si>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Seeohren (Haliotis spp.) und Fechterschnecken (Strombus spp.): Fechterschnecken (Strombus spp.), lebend, frisch oder gekühlt</t>
  </si>
  <si>
    <t>Seeohren (Haliotis spp.), gefroren</t>
  </si>
  <si>
    <t>KAPITEL 3 - FISCHE UND KREBSTIERE, WEICHTIERE UND ANDERE WIRBELLOSE WASSERTIERE: Weichtiere, auch ohne Schale, lebend, frisch, gekühlt, gefroren, getrocknet, gesalzen oder in Salzlake; Weichtiere, auch ohne Schale, geräuchert, auch vor oder während des Räucherns gegart: Seeohren (Haliotis spp.) und Fechterschnecken (Strombus spp.): Seeohren (Haliotis spp.), gefroren</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</si>
  <si>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Seeohren (Haliotis spp.) und Fechterschnecken (Strombus spp.): Seeohren (Haliotis spp.), gefroren</t>
  </si>
  <si>
    <t>Fechterschnecken (Strombus spp.), gefroren</t>
  </si>
  <si>
    <t>KAPITEL 3 - FISCHE UND KREBSTIERE, WEICHTIERE UND ANDERE WIRBELLOSE WASSERTIERE: Weichtiere, auch ohne Schale, lebend, frisch, gekühlt, gefroren, getrocknet, gesalzen oder in Salzlake; Weichtiere, auch ohne Schale, geräuchert, auch vor oder während des Räucherns gegart: Seeohren (Haliotis spp.) und Fechterschnecken (Strombus spp.): Fechterschnecken (Strombus spp.), gefroren</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</si>
  <si>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Seeohren (Haliotis spp.) und Fechterschnecken (Strombus spp.): Fechterschnecken (Strombus spp.), gefroren</t>
  </si>
  <si>
    <t>andere Seeohren (Haliotis spp.)</t>
  </si>
  <si>
    <t>KAPITEL 3 - FISCHE UND KREBSTIERE, WEICHTIERE UND ANDERE WIRBELLOSE WASSERTIERE: Weichtiere, auch ohne Schale, lebend, frisch, gekühlt, gefroren, getrocknet, gesalzen oder in Salzlake; Weichtiere, auch ohne Schale, geräuchert, auch vor oder während des Räucherns gegart: Seeohren (Haliotis spp.) und Fechterschnecken (Strombus spp.): andere Seeohren (Haliotis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</si>
  <si>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Seeohren (Haliotis spp.) und Fechterschnecken (Strombus spp.): andere Seeohren (Haliotis spp.)</t>
  </si>
  <si>
    <t>andere Fechterschnecken (Strombus spp.)</t>
  </si>
  <si>
    <t>KAPITEL 3 - FISCHE UND KREBSTIERE, WEICHTIERE UND ANDERE WIRBELLOSE WASSERTIERE: Weichtiere, auch ohne Schale, lebend, frisch, gekühlt, gefroren, getrocknet, gesalzen oder in Salzlake; Weichtiere, auch ohne Schale, geräuchert, auch vor oder während des Räucherns gegart: Seeohren (Haliotis spp.) und Fechterschnecken (Strombus spp.): andere Fechterschnecken (Strombus spp.)</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</si>
  <si>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Seeohren (Haliotis spp.) und Fechterschnecken (Strombus spp.): andere Fechterschnecken (Strombus spp.)</t>
  </si>
  <si>
    <t>KAPITEL 3 - FISCHE UND KREBSTIERE, WEICHTIERE UND ANDERE WIRBELLOSE WASSERTIERE: Weichtiere, auch ohne Schale, lebend, frisch, gekühlt, gefroren, getrocknet, gesalzen oder in Salzlake; Weichtiere, auch ohne Schale, geräuchert, auch vor oder während des Räucherns gegart: andere: lebend, frisch oder gekühlt</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</si>
  <si>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andere, einschließlich Mehl, Pulver und Pellets, genießbar: lebend, frisch oder gekühlt</t>
  </si>
  <si>
    <t>KAPITEL 3 - FISCHE UND KREBSTIERE, WEICHTIERE UND ANDERE WIRBELLOSE WASSERTIERE: Weichtiere, auch ohne Schale, lebend, frisch, gekühlt, gefroren, getrocknet, gesalzen oder in Salzlake; Weichtiere, auch ohne Schale, geräuchert, auch vor oder während des Räucherns gegart: andere: gefroren</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</si>
  <si>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andere, einschließlich Mehl, Pulver und Pellets, genießbar: gefroren</t>
  </si>
  <si>
    <t>KAPITEL 3 - FISCHE UND KREBSTIERE, WEICHTIERE UND ANDERE WIRBELLOSE WASSERTIERE: Weichtiere, auch ohne Schale, lebend, frisch, gekühlt, gefroren, getrocknet, gesalzen oder in Salzlake; Weichtiere, auch ohne Schale, geräuchert, auch vor oder während des Räucherns gegart: andere: andere</t>
  </si>
  <si>
    <t>KAPITEL 3 - FISCHE UND KREBSTIERE, WEICHTIERE UND ANDERE WIRBELLOSE WASSERTIERE: Weichtiere, auch ohne Schale, lebend, frisch, gekühlt, gefroren, getrocknet, gesalzen oder in Salzlake; Weichtiere, auch ohne Schale, geräuchert, auch vor oder während des Räucherns gegart; Mehl, Pulver und Pellets von Weichtieren, genießbar: andere, einschließlich Mehl, Pulver und Pellets, genießbar: andere</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</si>
  <si>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Seegurken (Stichopus japonicus, Holothuroidea): lebend, frisch oder gekühlt</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</si>
  <si>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Mehl, Pulver und Pellets von wirbellosen Wassertieren, anderen als Krebstieren und Weichtieren, genießbar: Seegurken (Stichopus japonicus, Holothuroidea): lebend, frisch oder gekühlt</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</si>
  <si>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Seegurken (Stichopus japonicus, Holothuroidea): gefroren</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</si>
  <si>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Mehl, Pulver und Pellets von wirbellosen Wassertieren, anderen als Krebstieren und Weichtieren, genießbar: Seegurken (Stichopus japonicus, Holothuroidea): gefroren</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</si>
  <si>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Seegurken (Stichopus japonicus, Holothuroidea): andere</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</si>
  <si>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Mehl, Pulver und Pellets von wirbellosen Wassertieren, anderen als Krebstieren und Weichtieren, genießbar: Seegurken (Stichopus japonicus, Holothuroidea): andere</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</si>
  <si>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Seeigel (Strongylocentrotus spp., Paracentrotus lividus, Loxechinus albus, Echinus esculentus): lebend, frisch oder gekühlt</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</si>
  <si>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Mehl, Pulver und Pellets von wirbellosen Wassertieren, anderen als Krebstieren und Weichtieren, genießbar: Seeigel (Strongylocentrotus spp., Paracentrotus lividus, Loxechinus albus, Echinus esculentus): lebend, frisch oder gekühlt</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</si>
  <si>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Seeigel (Strongylocentrotus spp., Paracentrotus lividus, Loxechinus albus, Echinus esculentus): gefroren</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</si>
  <si>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Mehl, Pulver und Pellets von wirbellosen Wassertieren, anderen als Krebstieren und Weichtieren, genießbar: Seeigel (Strongylocentrotus spp., Paracentrotus lividus, Loxechinus albus, Echinus esculentus): gefroren</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</si>
  <si>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Seeigel (Strongylocentrotus spp., Paracentrotus lividus, Loxechinus albus, Echinus esculentus): andere</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</si>
  <si>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Mehl, Pulver und Pellets von wirbellosen Wassertieren, anderen als Krebstieren und Weichtieren, genießbar: Seeigel (Strongylocentrotus spp., Paracentrotus lividus, Loxechinus albus, Echinus esculentus): andere</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</si>
  <si>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Quallen (Rhopilema spp.): gefroren</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</si>
  <si>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Mehl, Pulver und Pellets von wirbellosen Wassertieren, anderen als Krebstieren und Weichtieren, genießbar: Quallen (Rhopilema spp.): gefroren</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</si>
  <si>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Quallen (Rhopilema spp.): andere</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</si>
  <si>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Mehl, Pulver und Pellets von wirbellosen Wassertieren, anderen als Krebstieren und Weichtieren, genießbar: Quallen (Rhopilema spp.): andere</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</si>
  <si>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andere: lebend, frisch oder gekühlt</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</si>
  <si>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Mehl, Pulver und Pellets von wirbellosen Wassertieren, anderen als Krebstieren und Weichtieren, genießbar: andere: lebend, frisch oder gekühlt</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</si>
  <si>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andere: gefroren</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</si>
  <si>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Mehl, Pulver und Pellets von wirbellosen Wassertieren, anderen als Krebstieren und Weichtieren, genießbar: andere: gefroren</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</si>
  <si>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andere: andere</t>
  </si>
  <si>
    <t>KAPITEL 3 - FISCHE UND KREBSTIERE, WEICHTIERE UND ANDERE WIRBELLOSE WASSERTIERE: Wirbellose Wassertiere, andere als Krebstiere und Weichtiere, lebend, frisch, gekühlt, gefroren, getrocknet, gesalzen oder in Salzlake; wirbellose Wassertiere, andere als Krebstiere und Weichtiere, geräuchert, auch vor oder während des Räucherns gegart; Mehl, Pulver und Pellets von wirbellosen Wassertieren, anderen als Krebstieren und Weichtieren, genießbar: andere: andere</t>
  </si>
  <si>
    <t>1,5 GHT oder weniger</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</si>
  <si>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weder aromatisiert noch mit Zusatz von Früchten, Nüssen oder Kakao: in Pulverform, granuliert oder in anderer fester Form: ohne Zusatz von Zucker oder anderen Süßmitteln, mit einem Milchfettgehalt von: 1,5 GHT oder weniger</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</si>
  <si>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weder aromatisiert noch mit Zusatz von Früchten, Nüssen oder Kakao: in Pulverform, granuliert oder in anderer fester Form: ohne Zusatz von Zucker oder anderen Süßmitteln, mit einem Milchfettgehalt von: 1,5 GHT oder weniger</t>
  </si>
  <si>
    <t>mehr als 1,5 bis 27 GHT</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</si>
  <si>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weder aromatisiert noch mit Zusatz von Früchten, Nüssen oder Kakao: in Pulverform, granuliert oder in anderer fester Form: ohne Zusatz von Zucker oder anderen Süßmitteln, mit einem Milchfettgehalt von: mehr als 1,5 bis 27 GHT</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</si>
  <si>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weder aromatisiert noch mit Zusatz von Früchten, Nüssen oder Kakao: in Pulverform, granuliert oder in anderer fester Form: ohne Zusatz von Zucker oder anderen Süßmitteln, mit einem Milchfettgehalt von: mehr als 1,5 bis 27 GHT</t>
  </si>
  <si>
    <t>mehr als 27 GHT</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</si>
  <si>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weder aromatisiert noch mit Zusatz von Früchten, Nüssen oder Kakao: in Pulverform, granuliert oder in anderer fester Form: ohne Zusatz von Zucker oder anderen Süßmitteln, mit einem Milchfettgehalt von: mehr als 27 GHT</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</si>
  <si>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weder aromatisiert noch mit Zusatz von Früchten, Nüssen oder Kakao: in Pulverform, granuliert oder in anderer fester Form: ohne Zusatz von Zucker oder anderen Süßmitteln, mit einem Milchfettgehalt von: mehr als 27 GHT</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</si>
  <si>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weder aromatisiert noch mit Zusatz von Früchten, Nüssen oder Kakao: in Pulverform, granuliert oder in anderer fester Form: andere, mit einem Milchfettgehalt von: 1,5 GHT oder weniger</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</si>
  <si>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weder aromatisiert noch mit Zusatz von Früchten, Nüssen oder Kakao: in Pulverform, granuliert oder in anderer fester Form: andere, mit einem Milchfettgehalt von: 1,5 GHT oder weniger</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</si>
  <si>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weder aromatisiert noch mit Zusatz von Früchten, Nüssen oder Kakao: in Pulverform, granuliert oder in anderer fester Form: andere, mit einem Milchfettgehalt von: mehr als 1,5 bis 27 GHT</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</si>
  <si>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weder aromatisiert noch mit Zusatz von Früchten, Nüssen oder Kakao: in Pulverform, granuliert oder in anderer fester Form: andere, mit einem Milchfettgehalt von: mehr als 1,5 bis 27 GHT</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</si>
  <si>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weder aromatisiert noch mit Zusatz von Früchten, Nüssen oder Kakao: in Pulverform, granuliert oder in anderer fester Form: andere, mit einem Milchfettgehalt von: mehr als 27 GHT</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</si>
  <si>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weder aromatisiert noch mit Zusatz von Früchten, Nüssen oder Kakao: in Pulverform, granuliert oder in anderer fester Form: andere, mit einem Milchfettgehalt von: mehr als 27 GHT</t>
  </si>
  <si>
    <t>3 GHT oder weniger</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</si>
  <si>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weder aromatisiert noch mit Zusatz von Früchten, Nüssen oder Kakao: andere: ohne Zusatz von Zucker oder anderen Süßmitteln, mit einem Milchfettgehalt von: 3 GHT oder weniger</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</si>
  <si>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weder aromatisiert noch mit Zusatz von Früchten, Nüssen oder Kakao: andere: ohne Zusatz von Zucker oder anderen Süßmitteln, mit einem Milchfettgehalt von: 3 GHT oder weniger</t>
  </si>
  <si>
    <t>mehr als 3 bis 6 GHT</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</si>
  <si>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weder aromatisiert noch mit Zusatz von Früchten, Nüssen oder Kakao: andere: ohne Zusatz von Zucker oder anderen Süßmitteln, mit einem Milchfettgehalt von: mehr als 3 bis 6 GHT</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</si>
  <si>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weder aromatisiert noch mit Zusatz von Früchten, Nüssen oder Kakao: andere: ohne Zusatz von Zucker oder anderen Süßmitteln, mit einem Milchfettgehalt von: mehr als 3 bis 6 GHT</t>
  </si>
  <si>
    <t>mehr als 6 GHT</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</si>
  <si>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weder aromatisiert noch mit Zusatz von Früchten, Nüssen oder Kakao: andere: ohne Zusatz von Zucker oder anderen Süßmitteln, mit einem Milchfettgehalt von: mehr als 6 GHT</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</si>
  <si>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weder aromatisiert noch mit Zusatz von Früchten, Nüssen oder Kakao: andere: ohne Zusatz von Zucker oder anderen Süßmitteln, mit einem Milchfettgehalt von: mehr als 6 GHT</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</si>
  <si>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weder aromatisiert noch mit Zusatz von Früchten, Nüssen oder Kakao: andere: andere, mit einem Milchfettgehalt von: 3 GHT oder weniger</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</si>
  <si>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weder aromatisiert noch mit Zusatz von Früchten, Nüssen oder Kakao: andere: andere, mit einem Milchfettgehalt von: 3 GHT oder weniger</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</si>
  <si>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weder aromatisiert noch mit Zusatz von Früchten, Nüssen oder Kakao: andere: andere, mit einem Milchfettgehalt von: mehr als 3 bis 6 GHT</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</si>
  <si>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weder aromatisiert noch mit Zusatz von Früchten, Nüssen oder Kakao: andere: andere, mit einem Milchfettgehalt von: mehr als 3 bis 6 GHT</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</si>
  <si>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weder aromatisiert noch mit Zusatz von Früchten, Nüssen oder Kakao: andere: andere, mit einem Milchfettgehalt von: mehr als 6 GHT</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</si>
  <si>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weder aromatisiert noch mit Zusatz von Früchten, Nüssen oder Kakao: andere: andere, mit einem Milchfettgehalt von: mehr als 6 GHT</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</si>
  <si>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aromatisiert oder mit Zusatz von Früchten, Nüssen oder Kakao: in Pulverform, granuliert oder in anderer fester Form, mit einem Milchfettgehalt von: 1,5 GHT oder weniger</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</si>
  <si>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aromatisiert oder mit Zusatz von Früchten, Nüssen oder Kakao: in Pulverform, granuliert oder in anderer fester Form, mit einem Milchfettgehalt von: 1,5 GHT oder weniger</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</si>
  <si>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aromatisiert oder mit Zusatz von Früchten, Nüssen oder Kakao: in Pulverform, granuliert oder in anderer fester Form, mit einem Milchfettgehalt von: mehr als 1,5 bis 27 GHT</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</si>
  <si>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aromatisiert oder mit Zusatz von Früchten, Nüssen oder Kakao: in Pulverform, granuliert oder in anderer fester Form, mit einem Milchfettgehalt von: mehr als 1,5 bis 27 GHT</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</si>
  <si>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aromatisiert oder mit Zusatz von Früchten, Nüssen oder Kakao: in Pulverform, granuliert oder in anderer fester Form, mit einem Milchfettgehalt von: mehr als 27 GHT</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</si>
  <si>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aromatisiert oder mit Zusatz von Früchten, Nüssen oder Kakao: in Pulverform, granuliert oder in anderer fester Form, mit einem Milchfettgehalt von: mehr als 27 GHT</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</si>
  <si>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aromatisiert oder mit Zusatz von Früchten, Nüssen oder Kakao: andere, mit einem Milchfettgehalt von: 3 GHT oder weniger</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</si>
  <si>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aromatisiert oder mit Zusatz von Früchten, Nüssen oder Kakao: andere, mit einem Milchfettgehalt von: 3 GHT oder weniger</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</si>
  <si>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aromatisiert oder mit Zusatz von Früchten, Nüssen oder Kakao: andere, mit einem Milchfettgehalt von: mehr als 3 bis 6 GHT</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</si>
  <si>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aromatisiert oder mit Zusatz von Früchten, Nüssen oder Kakao: andere, mit einem Milchfettgehalt von: mehr als 3 bis 6 GHT</t>
  </si>
  <si>
    <t>KAPITEL 4 - MILCH UND MILCHERZEUGNISSE; VOGELEIER; NATÜRLICHER HONIG; GENIESSBARE WAREN TIERISCHEN URSPRUNGS, ANDERWEIT WEDER GENANNT NOCH INBEGRIFFEN: Joghurt; Buttermilch, saure Milch und saurer Rahm, Kefir und andere fermentierte oder gesäuerte Milch (einschließlich Rahm), auch eingedickt oder aromatisiert, auch mit Zusatz von Zucker, anderen Süßmitteln, Früchten, Nüssen oder Kakao: andere: aromatisiert oder mit Zusatz von Früchten, Nüssen oder Kakao: andere, mit einem Milchfettgehalt von: mehr als 6 GHT</t>
  </si>
  <si>
    <t>KAPITEL 4 - MILCH UND MILCHERZEUGNISSE; VOGELEIER; NATÜRLICHER HONIG; GENIESSBARE WAREN TIERISCHEN URSPRUNGS, ANDERWEIT WEDER GENANNT NOCH INBEGRIFFEN: Buttermilch, saure Milch und saurer Rahm, Joghurt, Kefir und andere fermentierte oder gesäuerte Milch (einschließlich Rahm), auch eingedickt oder aromatisiert, auch mit Zusatz von Zucker, anderen Süßmitteln, Früchten, Nüssen oder Kakao: andere: aromatisiert oder mit Zusatz von Früchten, Nüssen oder Kakao: andere, mit einem Milchfettgehalt von: mehr als 6 GHT</t>
  </si>
  <si>
    <t>zu anderen Zwecken als zur Ölgewinnung bestimmt</t>
  </si>
  <si>
    <t>KAPITEL 7 - GEMÜSE, PFLANZEN, WURZELN UND KNOLLEN, DIE ZU ERNÄHRUNGSZWECKEN VERWENDET WERDEN: Gemüse, vorläufig haltbar gemacht, zum unmittelbaren Genuss nicht geeignet: Oliven: zu anderen Zwecken als zur Ölgewinnung bestimmt</t>
  </si>
  <si>
    <t>KAPITEL 7 - GEMÜSE, PFLANZEN, WURZELN UND KNOLLEN, DIE ZU ERNÄHRUNGSZWECKEN VERWENDET WERDEN: Gemüse, vorläufig haltbar gemacht (z. B. durch Schwefeldioxid oder in Wasser, dem Salz, Schwefeldioxid oder andere vorläufig konservierend wirkende Stoffe zugesetzt sind), zum unmittelbaren Genuss nicht geeignet: Oliven: zu anderen Zwecken als zur Ölgewinnung bestimmt</t>
  </si>
  <si>
    <t>KAPITEL 7 - GEMÜSE, PFLANZEN, WURZELN UND KNOLLEN, DIE ZU ERNÄHRUNGSZWECKEN VERWENDET WERDEN: Gemüse, vorläufig haltbar gemacht, zum unmittelbaren Genuss nicht geeignet: Oliven: andere</t>
  </si>
  <si>
    <t>KAPITEL 7 - GEMÜSE, PFLANZEN, WURZELN UND KNOLLEN, DIE ZU ERNÄHRUNGSZWECKEN VERWENDET WERDEN: Gemüse, vorläufig haltbar gemacht (z. B. durch Schwefeldioxid oder in Wasser, dem Salz, Schwefeldioxid oder andere vorläufig konservierend wirkende Stoffe zugesetzt sind), zum unmittelbaren Genuss nicht geeignet: Oliven: andere</t>
  </si>
  <si>
    <t>Gurken und Cornichons</t>
  </si>
  <si>
    <t>KAPITEL 7 - GEMÜSE, PFLANZEN, WURZELN UND KNOLLEN, DIE ZU ERNÄHRUNGSZWECKEN VERWENDET WERDEN: Gemüse, vorläufig haltbar gemacht, zum unmittelbaren Genuss nicht geeignet: Gurken und Cornichons</t>
  </si>
  <si>
    <t>KAPITEL 7 - GEMÜSE, PFLANZEN, WURZELN UND KNOLLEN, DIE ZU ERNÄHRUNGSZWECKEN VERWENDET WERDEN: Gemüse, vorläufig haltbar gemacht (z. B. durch Schwefeldioxid oder in Wasser, dem Salz, Schwefeldioxid oder andere vorläufig konservierend wirkende Stoffe zugesetzt sind), zum unmittelbaren Genuss nicht geeignet: Gurken und Cornichons</t>
  </si>
  <si>
    <t>Pilze der Gattung Agaricus</t>
  </si>
  <si>
    <t>KAPITEL 7 - GEMÜSE, PFLANZEN, WURZELN UND KNOLLEN, DIE ZU ERNÄHRUNGSZWECKEN VERWENDET WERDEN: Gemüse, vorläufig haltbar gemacht, zum unmittelbaren Genuss nicht geeignet: Pilze und Trüffeln: Pilze der Gattung Agaricus</t>
  </si>
  <si>
    <t>KAPITEL 7 - GEMÜSE, PFLANZEN, WURZELN UND KNOLLEN, DIE ZU ERNÄHRUNGSZWECKEN VERWENDET WERDEN: Gemüse, vorläufig haltbar gemacht (z. B. durch Schwefeldioxid oder in Wasser, dem Salz, Schwefeldioxid oder andere vorläufig konservierend wirkende Stoffe zugesetzt sind), zum unmittelbaren Genuss nicht geeignet: Pilze und Trüffeln: Pilze der Gattung Agaricus</t>
  </si>
  <si>
    <t>KAPITEL 7 - GEMÜSE, PFLANZEN, WURZELN UND KNOLLEN, DIE ZU ERNÄHRUNGSZWECKEN VERWENDET WERDEN: Gemüse, vorläufig haltbar gemacht, zum unmittelbaren Genuss nicht geeignet: Pilze und Trüffeln: andere</t>
  </si>
  <si>
    <t>KAPITEL 7 - GEMÜSE, PFLANZEN, WURZELN UND KNOLLEN, DIE ZU ERNÄHRUNGSZWECKEN VERWENDET WERDEN: Gemüse, vorläufig haltbar gemacht (z. B. durch Schwefeldioxid oder in Wasser, dem Salz, Schwefeldioxid oder andere vorläufig konservierend wirkende Stoffe zugesetzt sind), zum unmittelbaren Genuss nicht geeignet: Pilze und Trüffeln: andere</t>
  </si>
  <si>
    <t>Früchte der Gattungen Capsicum oder Pimenta, ausgenommen Gemüsepaprika oder Paprika ohne brennenden Geschmack</t>
  </si>
  <si>
    <t>KAPITEL 7 - GEMÜSE, PFLANZEN, WURZELN UND KNOLLEN, DIE ZU ERNÄHRUNGSZWECKEN VERWENDET WERDEN: Gemüse, vorläufig haltbar gemacht, zum unmittelbaren Genuss nicht geeignet: anderes Gemüse; Mischungen von Gemüsen: Gemüse: Früchte der Gattungen Capsicum oder Pimenta, ausgenommen Gemüsepaprika oder Paprika ohne brennenden Geschmack</t>
  </si>
  <si>
    <t>KAPITEL 7 - GEMÜSE, PFLANZEN, WURZELN UND KNOLLEN, DIE ZU ERNÄHRUNGSZWECKEN VERWENDET WERDEN: Gemüse, vorläufig haltbar gemacht (z. B. durch Schwefeldioxid oder in Wasser, dem Salz, Schwefeldioxid oder andere vorläufig konservierend wirkende Stoffe zugesetzt sind), zum unmittelbaren Genuss nicht geeignet: anderes Gemüse; Mischungen von Gemüsen: Gemüse: Früchte der Gattungen Capsicum oder Pimenta, ausgenommen Gemüsepaprika oder Paprika ohne brennenden Geschmack</t>
  </si>
  <si>
    <t>Zuckermais</t>
  </si>
  <si>
    <t>KAPITEL 7 - GEMÜSE, PFLANZEN, WURZELN UND KNOLLEN, DIE ZU ERNÄHRUNGSZWECKEN VERWENDET WERDEN: Gemüse, vorläufig haltbar gemacht, zum unmittelbaren Genuss nicht geeignet: anderes Gemüse; Mischungen von Gemüsen: Gemüse: Zuckermais</t>
  </si>
  <si>
    <t>KAPITEL 7 - GEMÜSE, PFLANZEN, WURZELN UND KNOLLEN, DIE ZU ERNÄHRUNGSZWECKEN VERWENDET WERDEN: Gemüse, vorläufig haltbar gemacht (z. B. durch Schwefeldioxid oder in Wasser, dem Salz, Schwefeldioxid oder andere vorläufig konservierend wirkende Stoffe zugesetzt sind), zum unmittelbaren Genuss nicht geeignet: anderes Gemüse; Mischungen von Gemüsen: Gemüse: Zuckermais</t>
  </si>
  <si>
    <t>Speisezwiebeln</t>
  </si>
  <si>
    <t>KAPITEL 7 - GEMÜSE, PFLANZEN, WURZELN UND KNOLLEN, DIE ZU ERNÄHRUNGSZWECKEN VERWENDET WERDEN: Gemüse, vorläufig haltbar gemacht, zum unmittelbaren Genuss nicht geeignet: anderes Gemüse; Mischungen von Gemüsen: Gemüse: Speisezwiebeln</t>
  </si>
  <si>
    <t>KAPITEL 7 - GEMÜSE, PFLANZEN, WURZELN UND KNOLLEN, DIE ZU ERNÄHRUNGSZWECKEN VERWENDET WERDEN: Gemüse, vorläufig haltbar gemacht (z. B. durch Schwefeldioxid oder in Wasser, dem Salz, Schwefeldioxid oder andere vorläufig konservierend wirkende Stoffe zugesetzt sind), zum unmittelbaren Genuss nicht geeignet: anderes Gemüse; Mischungen von Gemüsen: Gemüse: Speisezwiebeln</t>
  </si>
  <si>
    <t>Kapern</t>
  </si>
  <si>
    <t>KAPITEL 7 - GEMÜSE, PFLANZEN, WURZELN UND KNOLLEN, DIE ZU ERNÄHRUNGSZWECKEN VERWENDET WERDEN: Gemüse, vorläufig haltbar gemacht, zum unmittelbaren Genuss nicht geeignet: anderes Gemüse; Mischungen von Gemüsen: Gemüse: Kapern</t>
  </si>
  <si>
    <t>KAPITEL 7 - GEMÜSE, PFLANZEN, WURZELN UND KNOLLEN, DIE ZU ERNÄHRUNGSZWECKEN VERWENDET WERDEN: Gemüse, vorläufig haltbar gemacht (z. B. durch Schwefeldioxid oder in Wasser, dem Salz, Schwefeldioxid oder andere vorläufig konservierend wirkende Stoffe zugesetzt sind), zum unmittelbaren Genuss nicht geeignet: anderes Gemüse; Mischungen von Gemüsen: Gemüse: Kapern</t>
  </si>
  <si>
    <t>anderes</t>
  </si>
  <si>
    <t>KAPITEL 7 - GEMÜSE, PFLANZEN, WURZELN UND KNOLLEN, DIE ZU ERNÄHRUNGSZWECKEN VERWENDET WERDEN: Gemüse, vorläufig haltbar gemacht, zum unmittelbaren Genuss nicht geeignet: anderes Gemüse; Mischungen von Gemüsen: Gemüse: anderes</t>
  </si>
  <si>
    <t>KAPITEL 7 - GEMÜSE, PFLANZEN, WURZELN UND KNOLLEN, DIE ZU ERNÄHRUNGSZWECKEN VERWENDET WERDEN: Gemüse, vorläufig haltbar gemacht (z. B. durch Schwefeldioxid oder in Wasser, dem Salz, Schwefeldioxid oder andere vorläufig konservierend wirkende Stoffe zugesetzt sind), zum unmittelbaren Genuss nicht geeignet: anderes Gemüse; Mischungen von Gemüsen: Gemüse: anderes</t>
  </si>
  <si>
    <t>Mischungen von Gemüsen</t>
  </si>
  <si>
    <t>KAPITEL 7 - GEMÜSE, PFLANZEN, WURZELN UND KNOLLEN, DIE ZU ERNÄHRUNGSZWECKEN VERWENDET WERDEN: Gemüse, vorläufig haltbar gemacht, zum unmittelbaren Genuss nicht geeignet: anderes Gemüse; Mischungen von Gemüsen: Mischungen von Gemüsen</t>
  </si>
  <si>
    <t>KAPITEL 7 - GEMÜSE, PFLANZEN, WURZELN UND KNOLLEN, DIE ZU ERNÄHRUNGSZWECKEN VERWENDET WERDEN: Gemüse, vorläufig haltbar gemacht (z. B. durch Schwefeldioxid oder in Wasser, dem Salz, Schwefeldioxid oder andere vorläufig konservierend wirkende Stoffe zugesetzt sind), zum unmittelbaren Genuss nicht geeignet: anderes Gemüse; Mischungen von Gemüsen: Mischungen von Gemüsen</t>
  </si>
  <si>
    <t>Kirschen</t>
  </si>
  <si>
    <t>KAPITEL 8 - GENIESSBARE FRÜCHTE UND NÜSSE; SCHALEN VON ZITRUSFRÜCHTEN ODER VON MELONEN: Früchte und Nüsse, vorläufig haltbar gemacht, zum unmittelbaren Genuss nicht geeignet: Kirschen</t>
  </si>
  <si>
    <t>KAPITEL 8 - GENIESSBARE FRÜCHTE UND NÜSSE; SCHALEN VON ZITRUSFRÜCHTEN ODER VON MELONEN: Früchte und Nüsse, vorläufig haltbar gemacht (z. B. durch Schwefeldioxid oder in Wasser, dem Salz, Schwefeldioxid oder andere vorläufig konservierend wirkende Stoffe zugesetzt sind), zum unmittelbaren Genuss nicht geeignet: Kirschen</t>
  </si>
  <si>
    <t>Aprikosen/Marillen; Orangen</t>
  </si>
  <si>
    <t>KAPITEL 8 - GENIESSBARE FRÜCHTE UND NÜSSE; SCHALEN VON ZITRUSFRÜCHTEN ODER VON MELONEN: Früchte und Nüsse, vorläufig haltbar gemacht, zum unmittelbaren Genuss nicht geeignet: andere: Aprikosen/Marillen; Orangen</t>
  </si>
  <si>
    <t>KAPITEL 8 - GENIESSBARE FRÜCHTE UND NÜSSE; SCHALEN VON ZITRUSFRÜCHTEN ODER VON MELONEN: Früchte und Nüsse, vorläufig haltbar gemacht (z. B. durch Schwefeldioxid oder in Wasser, dem Salz, Schwefeldioxid oder andere vorläufig konservierend wirkende Stoffe zugesetzt sind), zum unmittelbaren Genuss nicht geeignet: andere: Aprikosen/Marillen; Orangen</t>
  </si>
  <si>
    <t>Papaya-Früchte</t>
  </si>
  <si>
    <t>KAPITEL 8 - GENIESSBARE FRÜCHTE UND NÜSSE; SCHALEN VON ZITRUSFRÜCHTEN ODER VON MELONEN: Früchte und Nüsse, vorläufig haltbar gemacht, zum unmittelbaren Genuss nicht geeignet: andere: Papaya-Früchte</t>
  </si>
  <si>
    <t>KAPITEL 8 - GENIESSBARE FRÜCHTE UND NÜSSE; SCHALEN VON ZITRUSFRÜCHTEN ODER VON MELONEN: Früchte und Nüsse, vorläufig haltbar gemacht (z. B. durch Schwefeldioxid oder in Wasser, dem Salz, Schwefeldioxid oder andere vorläufig konservierend wirkende Stoffe zugesetzt sind), zum unmittelbaren Genuss nicht geeignet: andere: Papaya-Früchte</t>
  </si>
  <si>
    <t>Heidelbeeren der Art Vaccinium myrtillus</t>
  </si>
  <si>
    <t>KAPITEL 8 - GENIESSBARE FRÜCHTE UND NÜSSE; SCHALEN VON ZITRUSFRÜCHTEN ODER VON MELONEN: Früchte und Nüsse, vorläufig haltbar gemacht, zum unmittelbaren Genuss nicht geeignet: andere: Heidelbeeren der Art Vaccinium myrtillus</t>
  </si>
  <si>
    <t>KAPITEL 8 - GENIESSBARE FRÜCHTE UND NÜSSE; SCHALEN VON ZITRUSFRÜCHTEN ODER VON MELONEN: Früchte und Nüsse, vorläufig haltbar gemacht (z. B. durch Schwefeldioxid oder in Wasser, dem Salz, Schwefeldioxid oder andere vorläufig konservierend wirkende Stoffe zugesetzt sind), zum unmittelbaren Genuss nicht geeignet: andere: Heidelbeeren der Art Vaccinium myrtillus</t>
  </si>
  <si>
    <t>Guaven, Mangofrüchte, Mangostanfrüchte, Tamarinden, Kaschu-Äpfel, Litschis, Jackfrüchte, Sapotpflaumen, Passionsfrüchte, Karambolen, Pitahayas und tropische Nüsse</t>
  </si>
  <si>
    <t>KAPITEL 8 - GENIESSBARE FRÜCHTE UND NÜSSE; SCHALEN VON ZITRUSFRÜCHTEN ODER VON MELONEN: Früchte und Nüsse, vorläufig haltbar gemacht, zum unmittelbaren Genuss nicht geeignet: andere: Guaven, Mangofrüchte, Mangostanfrüchte, Tamarinden, Kaschu-Äpfel, Litschis, Jackfrüchte, Sapotpflaumen, Passionsfrüchte, Karambolen, Pitahayas und tropische Nüsse</t>
  </si>
  <si>
    <t>KAPITEL 8 - GENIESSBARE FRÜCHTE UND NÜSSE; SCHALEN VON ZITRUSFRÜCHTEN ODER VON MELONEN: Früchte und Nüsse, vorläufig haltbar gemacht (z. B. durch Schwefeldioxid oder in Wasser, dem Salz, Schwefeldioxid oder andere vorläufig konservierend wirkende Stoffe zugesetzt sind), zum unmittelbaren Genuss nicht geeignet: andere: Guaven, Mangofrüchte, Mangostanfrüchte, Tamarinden, Kaschu-Äpfel, Litschis, Jackfrüchte, Sapotpflaumen, Passionsfrüchte, Karambolen, Pitahayas und tropische Nüsse</t>
  </si>
  <si>
    <t>KAPITEL 8 - GENIESSBARE FRÜCHTE UND NÜSSE; SCHALEN VON ZITRUSFRÜCHTEN ODER VON MELONEN: Früchte und Nüsse, vorläufig haltbar gemacht, zum unmittelbaren Genuss nicht geeignet: andere: andere</t>
  </si>
  <si>
    <t>KAPITEL 8 - GENIESSBARE FRÜCHTE UND NÜSSE; SCHALEN VON ZITRUSFRÜCHTEN ODER VON MELONEN: Früchte und Nüsse, vorläufig haltbar gemacht (z. B. durch Schwefeldioxid oder in Wasser, dem Salz, Schwefeldioxid oder andere vorläufig konservierend wirkende Stoffe zugesetzt sind), zum unmittelbaren Genuss nicht geeignet: andere: andere</t>
  </si>
  <si>
    <t>zu industriellen Zwecken, ausgenommen zum Herstellen von Lebensmitteln</t>
  </si>
  <si>
    <t>KAPITEL 15 - TIERISCHE, PFLANZLICHE ODER MIKROBIELLE FETTE UND ÖLE UND ERZEUGNISSE IHRER SPALTUNG; GENIESSBARE VERARBEITETE FETTE; WACHSE TIERISCHEN ODER PFLANZLICHEN URSPRUNGS: Schweinefett (einschließlich Schweineschmalz) und Geflügelfett, ausgenommen solches der Position 0209 oder 1503: Schweineschmalz: zu industriellen Zwecken, ausgenommen zum Herstellen von Lebensmitteln</t>
  </si>
  <si>
    <t>KAPITEL 15 - TIERISCHE UND PFLANZLICHE FETTE UND ÖLE; ERZEUGNISSE IHRER SPALTUNG; GENIESSBARE VERARBEITETE FETTE; WACHSE TIERISCHEN UND PFLANZLICHEN URSPRUNGS: Schweinefett (einschließlich Schweineschmalz) und Geflügelfett, ausgenommen solches der Position 0209 oder 1503: Schweineschmalz: zu industriellen Zwecken, ausgenommen zum Herstellen von Lebensmitteln</t>
  </si>
  <si>
    <t>KAPITEL 15 - TIERISCHE, PFLANZLICHE ODER MIKROBIELLE FETTE UND ÖLE UND ERZEUGNISSE IHRER SPALTUNG; GENIESSBARE VERARBEITETE FETTE; WACHSE TIERISCHEN ODER PFLANZLICHEN URSPRUNGS: Schweinefett (einschließlich Schweineschmalz) und Geflügelfett, ausgenommen solches der Position 0209 oder 1503: Schweineschmalz: anderes</t>
  </si>
  <si>
    <t>KAPITEL 15 - TIERISCHE UND PFLANZLICHE FETTE UND ÖLE; ERZEUGNISSE IHRER SPALTUNG; GENIESSBARE VERARBEITETE FETTE; WACHSE TIERISCHEN UND PFLANZLICHEN URSPRUNGS: Schweinefett (einschließlich Schweineschmalz) und Geflügelfett, ausgenommen solches der Position 0209 oder 1503: Schweineschmalz: anderes</t>
  </si>
  <si>
    <t>KAPITEL 15 - TIERISCHE, PFLANZLICHE ODER MIKROBIELLE FETTE UND ÖLE UND ERZEUGNISSE IHRER SPALTUNG; GENIESSBARE VERARBEITETE FETTE; WACHSE TIERISCHEN ODER PFLANZLICHEN URSPRUNGS: Schweinefett (einschließlich Schweineschmalz) und Geflügelfett, ausgenommen solches der Position 0209 oder 1503: anderes Schweinefett: zu industriellen Zwecken, ausgenommen zum Herstellen von Lebensmitteln</t>
  </si>
  <si>
    <t>KAPITEL 15 - TIERISCHE UND PFLANZLICHE FETTE UND ÖLE; ERZEUGNISSE IHRER SPALTUNG; GENIESSBARE VERARBEITETE FETTE; WACHSE TIERISCHEN UND PFLANZLICHEN URSPRUNGS: Schweinefett (einschließlich Schweineschmalz) und Geflügelfett, ausgenommen solches der Position 0209 oder 1503: anderes Schweinefett: zu industriellen Zwecken, ausgenommen zum Herstellen von Lebensmitteln</t>
  </si>
  <si>
    <t>KAPITEL 15 - TIERISCHE, PFLANZLICHE ODER MIKROBIELLE FETTE UND ÖLE UND ERZEUGNISSE IHRER SPALTUNG; GENIESSBARE VERARBEITETE FETTE; WACHSE TIERISCHEN ODER PFLANZLICHEN URSPRUNGS: Schweinefett (einschließlich Schweineschmalz) und Geflügelfett, ausgenommen solches der Position 0209 oder 1503: anderes Schweinefett: anderes</t>
  </si>
  <si>
    <t>KAPITEL 15 - TIERISCHE UND PFLANZLICHE FETTE UND ÖLE; ERZEUGNISSE IHRER SPALTUNG; GENIESSBARE VERARBEITETE FETTE; WACHSE TIERISCHEN UND PFLANZLICHEN URSPRUNGS: Schweinefett (einschließlich Schweineschmalz) und Geflügelfett, ausgenommen solches der Position 0209 oder 1503: anderes Schweinefett: anderes</t>
  </si>
  <si>
    <t>KAPITEL 15 - TIERISCHE, PFLANZLICHE ODER MIKROBIELLE FETTE UND ÖLE UND ERZEUGNISSE IHRER SPALTUNG; GENIESSBARE VERARBEITETE FETTE; WACHSE TIERISCHEN ODER PFLANZLICHEN URSPRUNGS: Schweinefett (einschließlich Schweineschmalz) und Geflügelfett, ausgenommen solches der Position 0209 oder 1503: anderes</t>
  </si>
  <si>
    <t>KAPITEL 15 - TIERISCHE UND PFLANZLICHE FETTE UND ÖLE; ERZEUGNISSE IHRER SPALTUNG; GENIESSBARE VERARBEITETE FETTE; WACHSE TIERISCHEN UND PFLANZLICHEN URSPRUNGS: Schweinefett (einschließlich Schweineschmalz) und Geflügelfett, ausgenommen solches der Position 0209 oder 1503: anderes</t>
  </si>
  <si>
    <t>KAPITEL 15 - TIERISCHE, PFLANZLICHE ODER MIKROBIELLE FETTE UND ÖLE UND ERZEUGNISSE IHRER SPALTUNG; GENIESSBARE VERARBEITETE FETTE; WACHSE TIERISCHEN ODER PFLANZLICHEN URSPRUNGS: Fett von Rindern, Schafen oder Ziegen, ausgenommen solches der Position 1503: Talg: zu industriellen Zwecken, ausgenommen zum Herstellen von Lebensmitteln</t>
  </si>
  <si>
    <t>KAPITEL 15 - TIERISCHE UND PFLANZLICHE FETTE UND ÖLE; ERZEUGNISSE IHRER SPALTUNG; GENIESSBARE VERARBEITETE FETTE; WACHSE TIERISCHEN UND PFLANZLICHEN URSPRUNGS: Fett von Rindern, Schafen oder Ziegen, ausgenommen solches der Position 1503: Talg: zu industriellen Zwecken, ausgenommen zum Herstellen von Lebensmitteln</t>
  </si>
  <si>
    <t>KAPITEL 15 - TIERISCHE, PFLANZLICHE ODER MIKROBIELLE FETTE UND ÖLE UND ERZEUGNISSE IHRER SPALTUNG; GENIESSBARE VERARBEITETE FETTE; WACHSE TIERISCHEN ODER PFLANZLICHEN URSPRUNGS: Fett von Rindern, Schafen oder Ziegen, ausgenommen solches der Position 1503: Talg: anderes</t>
  </si>
  <si>
    <t>KAPITEL 15 - TIERISCHE UND PFLANZLICHE FETTE UND ÖLE; ERZEUGNISSE IHRER SPALTUNG; GENIESSBARE VERARBEITETE FETTE; WACHSE TIERISCHEN UND PFLANZLICHEN URSPRUNGS: Fett von Rindern, Schafen oder Ziegen, ausgenommen solches der Position 1503: Talg: anderes</t>
  </si>
  <si>
    <t>KAPITEL 15 - TIERISCHE, PFLANZLICHE ODER MIKROBIELLE FETTE UND ÖLE UND ERZEUGNISSE IHRER SPALTUNG; GENIESSBARE VERARBEITETE FETTE; WACHSE TIERISCHEN ODER PFLANZLICHEN URSPRUNGS: Fett von Rindern, Schafen oder Ziegen, ausgenommen solches der Position 1503: anderes: zu industriellen Zwecken, ausgenommen zum Herstellen von Lebensmitteln</t>
  </si>
  <si>
    <t>KAPITEL 15 - TIERISCHE UND PFLANZLICHE FETTE UND ÖLE; ERZEUGNISSE IHRER SPALTUNG; GENIESSBARE VERARBEITETE FETTE; WACHSE TIERISCHEN UND PFLANZLICHEN URSPRUNGS: Fett von Rindern, Schafen oder Ziegen, ausgenommen solches der Position 1503: anderes: zu industriellen Zwecken, ausgenommen zum Herstellen von Lebensmitteln</t>
  </si>
  <si>
    <t>KAPITEL 15 - TIERISCHE, PFLANZLICHE ODER MIKROBIELLE FETTE UND ÖLE UND ERZEUGNISSE IHRER SPALTUNG; GENIESSBARE VERARBEITETE FETTE; WACHSE TIERISCHEN ODER PFLANZLICHEN URSPRUNGS: Fett von Rindern, Schafen oder Ziegen, ausgenommen solches der Position 1503: anderes: anderes</t>
  </si>
  <si>
    <t>KAPITEL 15 - TIERISCHE UND PFLANZLICHE FETTE UND ÖLE; ERZEUGNISSE IHRER SPALTUNG; GENIESSBARE VERARBEITETE FETTE; WACHSE TIERISCHEN UND PFLANZLICHEN URSPRUNGS: Fett von Rindern, Schafen oder Ziegen, ausgenommen solches der Position 1503: anderes: anderes</t>
  </si>
  <si>
    <t>zu industriellen Zwecken</t>
  </si>
  <si>
    <t>KAPITEL 15 - TIERISCHE, PFLANZLICHE ODER MIKROBIELLE FETTE UND ÖLE UND ERZEUGNISSE IHRER SPALTUNG; GENIESSBARE VERARBEITETE FETTE; WACHSE TIERISCHEN ODER PFLANZLICHEN URSPRUNGS: Schmalzstearin, Schmalzöl, Oleostearin, Oleomargarin und Talgöl, weder emulgiert, vermischt noch anders verarbeitet: Schmalzstearin und Oleostearin: zu industriellen Zwecken</t>
  </si>
  <si>
    <t>KAPITEL 15 - TIERISCHE UND PFLANZLICHE FETTE UND ÖLE; ERZEUGNISSE IHRER SPALTUNG; GENIESSBARE VERARBEITETE FETTE; WACHSE TIERISCHEN UND PFLANZLICHEN URSPRUNGS: Schmalzstearin, Schmalzöl, Oleostearin, Oleomargarin und Talgöl, weder emulgiert, vermischt noch anders verarbeitet: Schmalzstearin und Oleostearin: zu industriellen Zwecken</t>
  </si>
  <si>
    <t>KAPITEL 15 - TIERISCHE, PFLANZLICHE ODER MIKROBIELLE FETTE UND ÖLE UND ERZEUGNISSE IHRER SPALTUNG; GENIESSBARE VERARBEITETE FETTE; WACHSE TIERISCHEN ODER PFLANZLICHEN URSPRUNGS: Schmalzstearin, Schmalzöl, Oleostearin, Oleomargarin und Talgöl, weder emulgiert, vermischt noch anders verarbeitet: Schmalzstearin und Oleostearin: andere</t>
  </si>
  <si>
    <t>KAPITEL 15 - TIERISCHE UND PFLANZLICHE FETTE UND ÖLE; ERZEUGNISSE IHRER SPALTUNG; GENIESSBARE VERARBEITETE FETTE; WACHSE TIERISCHEN UND PFLANZLICHEN URSPRUNGS: Schmalzstearin, Schmalzöl, Oleostearin, Oleomargarin und Talgöl, weder emulgiert, vermischt noch anders verarbeitet: Schmalzstearin und Oleostearin: andere</t>
  </si>
  <si>
    <t>Talgöl zu industriellen Zwecken, ausgenommen zum Herstellen von Lebensmitteln</t>
  </si>
  <si>
    <t>KAPITEL 15 - TIERISCHE, PFLANZLICHE ODER MIKROBIELLE FETTE UND ÖLE UND ERZEUGNISSE IHRER SPALTUNG; GENIESSBARE VERARBEITETE FETTE; WACHSE TIERISCHEN ODER PFLANZLICHEN URSPRUNGS: Schmalzstearin, Schmalzöl, Oleostearin, Oleomargarin und Talgöl, weder emulgiert, vermischt noch anders verarbeitet: Talgöl zu industriellen Zwecken, ausgenommen zum Herstellen von Lebensmitteln</t>
  </si>
  <si>
    <t>KAPITEL 15 - TIERISCHE UND PFLANZLICHE FETTE UND ÖLE; ERZEUGNISSE IHRER SPALTUNG; GENIESSBARE VERARBEITETE FETTE; WACHSE TIERISCHEN UND PFLANZLICHEN URSPRUNGS: Schmalzstearin, Schmalzöl, Oleostearin, Oleomargarin und Talgöl, weder emulgiert, vermischt noch anders verarbeitet: Talgöl zu industriellen Zwecken, ausgenommen zum Herstellen von Lebensmitteln</t>
  </si>
  <si>
    <t>KAPITEL 15 - TIERISCHE, PFLANZLICHE ODER MIKROBIELLE FETTE UND ÖLE UND ERZEUGNISSE IHRER SPALTUNG; GENIESSBARE VERARBEITETE FETTE; WACHSE TIERISCHEN ODER PFLANZLICHEN URSPRUNGS: Schmalzstearin, Schmalzöl, Oleostearin, Oleomargarin und Talgöl, weder emulgiert, vermischt noch anders verarbeitet: andere</t>
  </si>
  <si>
    <t>KAPITEL 15 - TIERISCHE UND PFLANZLICHE FETTE UND ÖLE; ERZEUGNISSE IHRER SPALTUNG; GENIESSBARE VERARBEITETE FETTE; WACHSE TIERISCHEN UND PFLANZLICHEN URSPRUNGS: Schmalzstearin, Schmalzöl, Oleostearin, Oleomargarin und Talgöl, weder emulgiert, vermischt noch anders verarbeitet: andere</t>
  </si>
  <si>
    <t>mit einem Gehalt an Vitamin A von 2500 internationalen Einheiten je Gramm oder weniger</t>
  </si>
  <si>
    <t>KAPITEL 15 - TIERISCHE, PFLANZLICHE ODER MIKROBIELLE FETTE UND ÖLE UND ERZEUGNISSE IHRER SPALTUNG; GENIESSBARE VERARBEITETE FETTE; WACHSE TIERISCHEN ODER PFLANZLICHEN URSPRUNGS: Fette und Öle sowie deren Fraktionen, von Fischen oder Meeressäugetieren, auch raffiniert, jedoch nicht chemisch modifiziert: Leberöle sowie deren Fraktionen, von Fischen: mit einem Gehalt an Vitamin A von 2500 internationalen Einheiten je Gramm oder weniger</t>
  </si>
  <si>
    <t>KAPITEL 15 - TIERISCHE UND PFLANZLICHE FETTE UND ÖLE; ERZEUGNISSE IHRER SPALTUNG; GENIESSBARE VERARBEITETE FETTE; WACHSE TIERISCHEN UND PFLANZLICHEN URSPRUNGS: Fette und Öle sowie deren Fraktionen, von Fischen oder Meeressäugetieren, auch raffiniert, jedoch nicht chemisch modifiziert: Leberöle sowie deren Fraktionen, von Fischen: mit einem Gehalt an Vitamin A von 2500 internationalen Einheiten je Gramm oder weniger</t>
  </si>
  <si>
    <t>von Heilbutten</t>
  </si>
  <si>
    <t>KAPITEL 15 - TIERISCHE, PFLANZLICHE ODER MIKROBIELLE FETTE UND ÖLE UND ERZEUGNISSE IHRER SPALTUNG; GENIESSBARE VERARBEITETE FETTE; WACHSE TIERISCHEN ODER PFLANZLICHEN URSPRUNGS: Fette und Öle sowie deren Fraktionen, von Fischen oder Meeressäugetieren, auch raffiniert, jedoch nicht chemisch modifiziert: Leberöle sowie deren Fraktionen, von Fischen: andere: von Heilbutten</t>
  </si>
  <si>
    <t>KAPITEL 15 - TIERISCHE UND PFLANZLICHE FETTE UND ÖLE; ERZEUGNISSE IHRER SPALTUNG; GENIESSBARE VERARBEITETE FETTE; WACHSE TIERISCHEN UND PFLANZLICHEN URSPRUNGS: Fette und Öle sowie deren Fraktionen, von Fischen oder Meeressäugetieren, auch raffiniert, jedoch nicht chemisch modifiziert: Leberöle sowie deren Fraktionen, von Fischen: andere: von Heilbutten</t>
  </si>
  <si>
    <t>KAPITEL 15 - TIERISCHE, PFLANZLICHE ODER MIKROBIELLE FETTE UND ÖLE UND ERZEUGNISSE IHRER SPALTUNG; GENIESSBARE VERARBEITETE FETTE; WACHSE TIERISCHEN ODER PFLANZLICHEN URSPRUNGS: Fette und Öle sowie deren Fraktionen, von Fischen oder Meeressäugetieren, auch raffiniert, jedoch nicht chemisch modifiziert: Leberöle sowie deren Fraktionen, von Fischen: andere: andere</t>
  </si>
  <si>
    <t>KAPITEL 15 - TIERISCHE UND PFLANZLICHE FETTE UND ÖLE; ERZEUGNISSE IHRER SPALTUNG; GENIESSBARE VERARBEITETE FETTE; WACHSE TIERISCHEN UND PFLANZLICHEN URSPRUNGS: Fette und Öle sowie deren Fraktionen, von Fischen oder Meeressäugetieren, auch raffiniert, jedoch nicht chemisch modifiziert: Leberöle sowie deren Fraktionen, von Fischen: andere: andere</t>
  </si>
  <si>
    <t>feste Fraktionen</t>
  </si>
  <si>
    <t>KAPITEL 15 - TIERISCHE, PFLANZLICHE ODER MIKROBIELLE FETTE UND ÖLE UND ERZEUGNISSE IHRER SPALTUNG; GENIESSBARE VERARBEITETE FETTE; WACHSE TIERISCHEN ODER PFLANZLICHEN URSPRUNGS: Fette und Öle sowie deren Fraktionen, von Fischen oder Meeressäugetieren, auch raffiniert, jedoch nicht chemisch modifiziert: Fette und Öle sowie deren Fraktionen, von Fischen, ausgenommen Leberöle: feste Fraktionen</t>
  </si>
  <si>
    <t>KAPITEL 15 - TIERISCHE UND PFLANZLICHE FETTE UND ÖLE; ERZEUGNISSE IHRER SPALTUNG; GENIESSBARE VERARBEITETE FETTE; WACHSE TIERISCHEN UND PFLANZLICHEN URSPRUNGS: Fette und Öle sowie deren Fraktionen, von Fischen oder Meeressäugetieren, auch raffiniert, jedoch nicht chemisch modifiziert: Fette und Öle sowie deren Fraktionen, von Fischen, ausgenommen Leberöle: feste Fraktionen</t>
  </si>
  <si>
    <t>KAPITEL 15 - TIERISCHE, PFLANZLICHE ODER MIKROBIELLE FETTE UND ÖLE UND ERZEUGNISSE IHRER SPALTUNG; GENIESSBARE VERARBEITETE FETTE; WACHSE TIERISCHEN ODER PFLANZLICHEN URSPRUNGS: Fette und Öle sowie deren Fraktionen, von Fischen oder Meeressäugetieren, auch raffiniert, jedoch nicht chemisch modifiziert: Fette und Öle sowie deren Fraktionen, von Fischen, ausgenommen Leberöle: andere</t>
  </si>
  <si>
    <t>KAPITEL 15 - TIERISCHE UND PFLANZLICHE FETTE UND ÖLE; ERZEUGNISSE IHRER SPALTUNG; GENIESSBARE VERARBEITETE FETTE; WACHSE TIERISCHEN UND PFLANZLICHEN URSPRUNGS: Fette und Öle sowie deren Fraktionen, von Fischen oder Meeressäugetieren, auch raffiniert, jedoch nicht chemisch modifiziert: Fette und Öle sowie deren Fraktionen, von Fischen, ausgenommen Leberöle: andere</t>
  </si>
  <si>
    <t>KAPITEL 15 - TIERISCHE, PFLANZLICHE ODER MIKROBIELLE FETTE UND ÖLE UND ERZEUGNISSE IHRER SPALTUNG; GENIESSBARE VERARBEITETE FETTE; WACHSE TIERISCHEN ODER PFLANZLICHEN URSPRUNGS: Fette und Öle sowie deren Fraktionen, von Fischen oder Meeressäugetieren, auch raffiniert, jedoch nicht chemisch modifiziert: Fette und Öle sowie deren Fraktionen, von Meeressäugetieren: feste Fraktionen</t>
  </si>
  <si>
    <t>KAPITEL 15 - TIERISCHE UND PFLANZLICHE FETTE UND ÖLE; ERZEUGNISSE IHRER SPALTUNG; GENIESSBARE VERARBEITETE FETTE; WACHSE TIERISCHEN UND PFLANZLICHEN URSPRUNGS: Fette und Öle sowie deren Fraktionen, von Fischen oder Meeressäugetieren, auch raffiniert, jedoch nicht chemisch modifiziert: Fette und Öle sowie deren Fraktionen, von Meeressäugetieren: feste Fraktionen</t>
  </si>
  <si>
    <t>KAPITEL 15 - TIERISCHE, PFLANZLICHE ODER MIKROBIELLE FETTE UND ÖLE UND ERZEUGNISSE IHRER SPALTUNG; GENIESSBARE VERARBEITETE FETTE; WACHSE TIERISCHEN ODER PFLANZLICHEN URSPRUNGS: Fette und Öle sowie deren Fraktionen, von Fischen oder Meeressäugetieren, auch raffiniert, jedoch nicht chemisch modifiziert: Fette und Öle sowie deren Fraktionen, von Meeressäugetieren: andere</t>
  </si>
  <si>
    <t>KAPITEL 15 - TIERISCHE UND PFLANZLICHE FETTE UND ÖLE; ERZEUGNISSE IHRER SPALTUNG; GENIESSBARE VERARBEITETE FETTE; WACHSE TIERISCHEN UND PFLANZLICHEN URSPRUNGS: Fette und Öle sowie deren Fraktionen, von Fischen oder Meeressäugetieren, auch raffiniert, jedoch nicht chemisch modifiziert: Fette und Öle sowie deren Fraktionen, von Meeressäugetieren: andere</t>
  </si>
  <si>
    <t>Wollfett, roh</t>
  </si>
  <si>
    <t>KAPITEL 15 - TIERISCHE, PFLANZLICHE ODER MIKROBIELLE FETTE UND ÖLE UND ERZEUGNISSE IHRER SPALTUNG; GENIESSBARE VERARBEITETE FETTE; WACHSE TIERISCHEN ODER PFLANZLICHEN URSPRUNGS: Wollfett und daraus stammende Fettstoffe, einschließlich Lanolin: Wollfett, roh</t>
  </si>
  <si>
    <t>KAPITEL 15 - TIERISCHE UND PFLANZLICHE FETTE UND ÖLE; ERZEUGNISSE IHRER SPALTUNG; GENIESSBARE VERARBEITETE FETTE; WACHSE TIERISCHEN UND PFLANZLICHEN URSPRUNGS: Wollfett und daraus stammende Fettstoffe, einschließlich Lanolin: Wollfett, roh</t>
  </si>
  <si>
    <t>KAPITEL 15 - TIERISCHE, PFLANZLICHE ODER MIKROBIELLE FETTE UND ÖLE UND ERZEUGNISSE IHRER SPALTUNG; GENIESSBARE VERARBEITETE FETTE; WACHSE TIERISCHEN ODER PFLANZLICHEN URSPRUNGS: Wollfett und daraus stammende Fettstoffe, einschließlich Lanolin: andere</t>
  </si>
  <si>
    <t>KAPITEL 15 - TIERISCHE UND PFLANZLICHE FETTE UND ÖLE; ERZEUGNISSE IHRER SPALTUNG; GENIESSBARE VERARBEITETE FETTE; WACHSE TIERISCHEN UND PFLANZLICHEN URSPRUNGS: Wollfett und daraus stammende Fettstoffe, einschließlich Lanolin: andere</t>
  </si>
  <si>
    <t>Andere tierische Fette und Öle sowie deren Fraktionen, auch raffiniert, jedoch nicht chemisch modifiziert</t>
  </si>
  <si>
    <t>KAPITEL 15 - TIERISCHE, PFLANZLICHE ODER MIKROBIELLE FETTE UND ÖLE UND ERZEUGNISSE IHRER SPALTUNG; GENIESSBARE VERARBEITETE FETTE; WACHSE TIERISCHEN ODER PFLANZLICHEN URSPRUNGS: Andere tierische Fette und Öle sowie deren Fraktionen, auch raffiniert, jedoch nicht chemisch modifiziert</t>
  </si>
  <si>
    <t>KAPITEL 15 - TIERISCHE UND PFLANZLICHE FETTE UND ÖLE; ERZEUGNISSE IHRER SPALTUNG; GENIESSBARE VERARBEITETE FETTE; WACHSE TIERISCHEN UND PFLANZLICHEN URSPRUNGS: Andere tierische Fette und Öle sowie deren Fraktionen, auch raffiniert, jedoch nicht chemisch modifiziert</t>
  </si>
  <si>
    <t>zu technischen oder industriellen Zwecken, ausgenommen zum Herstellen von Lebensmitteln</t>
  </si>
  <si>
    <t>KAPITEL 15 - TIERISCHE, PFLANZLICHE ODER MIKROBIELLE FETTE UND ÖLE UND ERZEUGNISSE IHRER SPALTUNG; GENIESSBARE VERARBEITETE FETTE; WACHSE TIERISCHEN ODER PFLANZLICHEN URSPRUNGS: Sojaöl und seine Fraktionen, auch raffiniert, jedoch nicht chemisch modifiziert: rohes Öl, auch entschleimt: zu technischen oder industriellen Zwecken, ausgenommen zum Herstellen von Lebensmitteln</t>
  </si>
  <si>
    <t>KAPITEL 15 - TIERISCHE UND PFLANZLICHE FETTE UND ÖLE; ERZEUGNISSE IHRER SPALTUNG; GENIESSBARE VERARBEITETE FETTE; WACHSE TIERISCHEN UND PFLANZLICHEN URSPRUNGS: Sojaöl und seine Fraktionen, auch raffiniert, jedoch nicht chemisch modifiziert: rohes Öl, auch entschleimt: zu technischen oder industriellen Zwecken, ausgenommen zum Herstellen von Lebensmitteln</t>
  </si>
  <si>
    <t>KAPITEL 15 - TIERISCHE, PFLANZLICHE ODER MIKROBIELLE FETTE UND ÖLE UND ERZEUGNISSE IHRER SPALTUNG; GENIESSBARE VERARBEITETE FETTE; WACHSE TIERISCHEN ODER PFLANZLICHEN URSPRUNGS: Sojaöl und seine Fraktionen, auch raffiniert, jedoch nicht chemisch modifiziert: rohes Öl, auch entschleimt: anderes</t>
  </si>
  <si>
    <t>KAPITEL 15 - TIERISCHE UND PFLANZLICHE FETTE UND ÖLE; ERZEUGNISSE IHRER SPALTUNG; GENIESSBARE VERARBEITETE FETTE; WACHSE TIERISCHEN UND PFLANZLICHEN URSPRUNGS: Sojaöl und seine Fraktionen, auch raffiniert, jedoch nicht chemisch modifiziert: rohes Öl, auch entschleimt: anderes</t>
  </si>
  <si>
    <t>KAPITEL 15 - TIERISCHE, PFLANZLICHE ODER MIKROBIELLE FETTE UND ÖLE UND ERZEUGNISSE IHRER SPALTUNG; GENIESSBARE VERARBEITETE FETTE; WACHSE TIERISCHEN ODER PFLANZLICHEN URSPRUNGS: Sojaöl und seine Fraktionen, auch raffiniert, jedoch nicht chemisch modifiziert: andere: zu technischen oder industriellen Zwecken, ausgenommen zum Herstellen von Lebensmitteln</t>
  </si>
  <si>
    <t>KAPITEL 15 - TIERISCHE UND PFLANZLICHE FETTE UND ÖLE; ERZEUGNISSE IHRER SPALTUNG; GENIESSBARE VERARBEITETE FETTE; WACHSE TIERISCHEN UND PFLANZLICHEN URSPRUNGS: Sojaöl und seine Fraktionen, auch raffiniert, jedoch nicht chemisch modifiziert: andere: zu technischen oder industriellen Zwecken, ausgenommen zum Herstellen von Lebensmitteln</t>
  </si>
  <si>
    <t>KAPITEL 15 - TIERISCHE, PFLANZLICHE ODER MIKROBIELLE FETTE UND ÖLE UND ERZEUGNISSE IHRER SPALTUNG; GENIESSBARE VERARBEITETE FETTE; WACHSE TIERISCHEN ODER PFLANZLICHEN URSPRUNGS: Sojaöl und seine Fraktionen, auch raffiniert, jedoch nicht chemisch modifiziert: andere: andere</t>
  </si>
  <si>
    <t>KAPITEL 15 - TIERISCHE UND PFLANZLICHE FETTE UND ÖLE; ERZEUGNISSE IHRER SPALTUNG; GENIESSBARE VERARBEITETE FETTE; WACHSE TIERISCHEN UND PFLANZLICHEN URSPRUNGS: Sojaöl und seine Fraktionen, auch raffiniert, jedoch nicht chemisch modifiziert: andere: andere</t>
  </si>
  <si>
    <t>KAPITEL 15 - TIERISCHE, PFLANZLICHE ODER MIKROBIELLE FETTE UND ÖLE UND ERZEUGNISSE IHRER SPALTUNG; GENIESSBARE VERARBEITETE FETTE; WACHSE TIERISCHEN ODER PFLANZLICHEN URSPRUNGS: Erdnussöl und seine Fraktionen, auch raffiniert, jedoch nicht chemisch modifiziert: rohes Öl: zu technischen oder industriellen Zwecken, ausgenommen zum Herstellen von Lebensmitteln</t>
  </si>
  <si>
    <t>KAPITEL 15 - TIERISCHE UND PFLANZLICHE FETTE UND ÖLE; ERZEUGNISSE IHRER SPALTUNG; GENIESSBARE VERARBEITETE FETTE; WACHSE TIERISCHEN UND PFLANZLICHEN URSPRUNGS: Erdnussöl und seine Fraktionen, auch raffiniert, jedoch nicht chemisch modifiziert: rohes Öl: zu technischen oder industriellen Zwecken, ausgenommen zum Herstellen von Lebensmitteln</t>
  </si>
  <si>
    <t>KAPITEL 15 - TIERISCHE, PFLANZLICHE ODER MIKROBIELLE FETTE UND ÖLE UND ERZEUGNISSE IHRER SPALTUNG; GENIESSBARE VERARBEITETE FETTE; WACHSE TIERISCHEN ODER PFLANZLICHEN URSPRUNGS: Erdnussöl und seine Fraktionen, auch raffiniert, jedoch nicht chemisch modifiziert: rohes Öl: anderes</t>
  </si>
  <si>
    <t>KAPITEL 15 - TIERISCHE UND PFLANZLICHE FETTE UND ÖLE; ERZEUGNISSE IHRER SPALTUNG; GENIESSBARE VERARBEITETE FETTE; WACHSE TIERISCHEN UND PFLANZLICHEN URSPRUNGS: Erdnussöl und seine Fraktionen, auch raffiniert, jedoch nicht chemisch modifiziert: rohes Öl: anderes</t>
  </si>
  <si>
    <t>KAPITEL 15 - TIERISCHE, PFLANZLICHE ODER MIKROBIELLE FETTE UND ÖLE UND ERZEUGNISSE IHRER SPALTUNG; GENIESSBARE VERARBEITETE FETTE; WACHSE TIERISCHEN ODER PFLANZLICHEN URSPRUNGS: Erdnussöl und seine Fraktionen, auch raffiniert, jedoch nicht chemisch modifiziert: andere: zu technischen oder industriellen Zwecken, ausgenommen zum Herstellen von Lebensmitteln</t>
  </si>
  <si>
    <t>KAPITEL 15 - TIERISCHE UND PFLANZLICHE FETTE UND ÖLE; ERZEUGNISSE IHRER SPALTUNG; GENIESSBARE VERARBEITETE FETTE; WACHSE TIERISCHEN UND PFLANZLICHEN URSPRUNGS: Erdnussöl und seine Fraktionen, auch raffiniert, jedoch nicht chemisch modifiziert: andere: zu technischen oder industriellen Zwecken, ausgenommen zum Herstellen von Lebensmitteln</t>
  </si>
  <si>
    <t>KAPITEL 15 - TIERISCHE, PFLANZLICHE ODER MIKROBIELLE FETTE UND ÖLE UND ERZEUGNISSE IHRER SPALTUNG; GENIESSBARE VERARBEITETE FETTE; WACHSE TIERISCHEN ODER PFLANZLICHEN URSPRUNGS: Erdnussöl und seine Fraktionen, auch raffiniert, jedoch nicht chemisch modifiziert: andere: andere</t>
  </si>
  <si>
    <t>KAPITEL 15 - TIERISCHE UND PFLANZLICHE FETTE UND ÖLE; ERZEUGNISSE IHRER SPALTUNG; GENIESSBARE VERARBEITETE FETTE; WACHSE TIERISCHEN UND PFLANZLICHEN URSPRUNGS: Erdnussöl und seine Fraktionen, auch raffiniert, jedoch nicht chemisch modifiziert: andere: andere</t>
  </si>
  <si>
    <t>KAPITEL 15 - TIERISCHE, PFLANZLICHE ODER MIKROBIELLE FETTE UND ÖLE UND ERZEUGNISSE IHRER SPALTUNG; GENIESSBARE VERARBEITETE FETTE; WACHSE TIERISCHEN ODER PFLANZLICHEN URSPRUNGS: Olivenöl und seine Fraktionen, auch raffiniert, jedoch nicht chemisch modifiziert: anderes</t>
  </si>
  <si>
    <t>KAPITEL 15 - TIERISCHE UND PFLANZLICHE FETTE UND ÖLE; ERZEUGNISSE IHRER SPALTUNG; GENIESSBARE VERARBEITETE FETTE; WACHSE TIERISCHEN UND PFLANZLICHEN URSPRUNGS: Olivenöl und seine Fraktionen, auch raffiniert, jedoch nicht chemisch modifiziert: anderes</t>
  </si>
  <si>
    <t>KAPITEL 15 - TIERISCHE, PFLANZLICHE ODER MIKROBIELLE FETTE UND ÖLE UND ERZEUGNISSE IHRER SPALTUNG; GENIESSBARE VERARBEITETE FETTE; WACHSE TIERISCHEN ODER PFLANZLICHEN URSPRUNGS: Palmöl und seine Fraktionen, auch raffiniert, jedoch nicht chemisch modifiziert: rohes Öl: zu technischen oder industriellen Zwecken, ausgenommen zum Herstellen von Lebensmitteln</t>
  </si>
  <si>
    <t>KAPITEL 15 - TIERISCHE UND PFLANZLICHE FETTE UND ÖLE; ERZEUGNISSE IHRER SPALTUNG; GENIESSBARE VERARBEITETE FETTE; WACHSE TIERISCHEN UND PFLANZLICHEN URSPRUNGS: Palmöl und seine Fraktionen, auch raffiniert, jedoch nicht chemisch modifiziert: rohes Öl: zu technischen oder industriellen Zwecken, ausgenommen zum Herstellen von Lebensmitteln</t>
  </si>
  <si>
    <t>KAPITEL 15 - TIERISCHE, PFLANZLICHE ODER MIKROBIELLE FETTE UND ÖLE UND ERZEUGNISSE IHRER SPALTUNG; GENIESSBARE VERARBEITETE FETTE; WACHSE TIERISCHEN ODER PFLANZLICHEN URSPRUNGS: Palmöl und seine Fraktionen, auch raffiniert, jedoch nicht chemisch modifiziert: rohes Öl: anderes</t>
  </si>
  <si>
    <t>KAPITEL 15 - TIERISCHE UND PFLANZLICHE FETTE UND ÖLE; ERZEUGNISSE IHRER SPALTUNG; GENIESSBARE VERARBEITETE FETTE; WACHSE TIERISCHEN UND PFLANZLICHEN URSPRUNGS: Palmöl und seine Fraktionen, auch raffiniert, jedoch nicht chemisch modifiziert: rohes Öl: anderes</t>
  </si>
  <si>
    <t>in unmittelbaren Umschließungen mit einem Gewicht des Inhalts von 1 kg oder weniger</t>
  </si>
  <si>
    <t>KAPITEL 15 - TIERISCHE, PFLANZLICHE ODER MIKROBIELLE FETTE UND ÖLE UND ERZEUGNISSE IHRER SPALTUNG; GENIESSBARE VERARBEITETE FETTE; WACHSE TIERISCHEN ODER PFLANZLICHEN URSPRUNGS: Palmöl und seine Fraktionen, auch raffiniert, jedoch nicht chemisch modifiziert: andere: feste Fraktionen: in unmittelbaren Umschließungen mit einem Gewicht des Inhalts von 1 kg oder weniger</t>
  </si>
  <si>
    <t>KAPITEL 15 - TIERISCHE UND PFLANZLICHE FETTE UND ÖLE; ERZEUGNISSE IHRER SPALTUNG; GENIESSBARE VERARBEITETE FETTE; WACHSE TIERISCHEN UND PFLANZLICHEN URSPRUNGS: Palmöl und seine Fraktionen, auch raffiniert, jedoch nicht chemisch modifiziert: andere: feste Fraktionen: in unmittelbaren Umschließungen mit einem Gewicht des Inhalts von 1 kg oder weniger</t>
  </si>
  <si>
    <t>in anderer Aufmachung</t>
  </si>
  <si>
    <t>KAPITEL 15 - TIERISCHE, PFLANZLICHE ODER MIKROBIELLE FETTE UND ÖLE UND ERZEUGNISSE IHRER SPALTUNG; GENIESSBARE VERARBEITETE FETTE; WACHSE TIERISCHEN ODER PFLANZLICHEN URSPRUNGS: Palmöl und seine Fraktionen, auch raffiniert, jedoch nicht chemisch modifiziert: andere: feste Fraktionen: in anderer Aufmachung</t>
  </si>
  <si>
    <t>KAPITEL 15 - TIERISCHE UND PFLANZLICHE FETTE UND ÖLE; ERZEUGNISSE IHRER SPALTUNG; GENIESSBARE VERARBEITETE FETTE; WACHSE TIERISCHEN UND PFLANZLICHEN URSPRUNGS: Palmöl und seine Fraktionen, auch raffiniert, jedoch nicht chemisch modifiziert: andere: feste Fraktionen: in anderer Aufmachung</t>
  </si>
  <si>
    <t>KAPITEL 15 - TIERISCHE, PFLANZLICHE ODER MIKROBIELLE FETTE UND ÖLE UND ERZEUGNISSE IHRER SPALTUNG; GENIESSBARE VERARBEITETE FETTE; WACHSE TIERISCHEN ODER PFLANZLICHEN URSPRUNGS: Palmöl und seine Fraktionen, auch raffiniert, jedoch nicht chemisch modifiziert: andere: andere: zu technischen oder industriellen Zwecken, ausgenommen zum Herstellen von Lebensmitteln</t>
  </si>
  <si>
    <t>KAPITEL 15 - TIERISCHE UND PFLANZLICHE FETTE UND ÖLE; ERZEUGNISSE IHRER SPALTUNG; GENIESSBARE VERARBEITETE FETTE; WACHSE TIERISCHEN UND PFLANZLICHEN URSPRUNGS: Palmöl und seine Fraktionen, auch raffiniert, jedoch nicht chemisch modifiziert: andere: andere: zu technischen oder industriellen Zwecken, ausgenommen zum Herstellen von Lebensmitteln</t>
  </si>
  <si>
    <t>KAPITEL 15 - TIERISCHE, PFLANZLICHE ODER MIKROBIELLE FETTE UND ÖLE UND ERZEUGNISSE IHRER SPALTUNG; GENIESSBARE VERARBEITETE FETTE; WACHSE TIERISCHEN ODER PFLANZLICHEN URSPRUNGS: Palmöl und seine Fraktionen, auch raffiniert, jedoch nicht chemisch modifiziert: andere: andere: andere</t>
  </si>
  <si>
    <t>KAPITEL 15 - TIERISCHE UND PFLANZLICHE FETTE UND ÖLE; ERZEUGNISSE IHRER SPALTUNG; GENIESSBARE VERARBEITETE FETTE; WACHSE TIERISCHEN UND PFLANZLICHEN URSPRUNGS: Palmöl und seine Fraktionen, auch raffiniert, jedoch nicht chemisch modifiziert: andere: andere: andere</t>
  </si>
  <si>
    <t>KAPITEL 15 - TIERISCHE, PFLANZLICHE ODER MIKROBIELLE FETTE UND ÖLE UND ERZEUGNISSE IHRER SPALTUNG; GENIESSBARE VERARBEITETE FETTE; WACHSE TIERISCHEN ODER PFLANZLICHEN URSPRUNGS: Sonnenblumenöl, Safloröl und Baumwollsamenöl sowie deren Fraktionen, auch raffiniert, jedoch nicht chemisch modifiziert: Sonnenblumenöl und Safloröl sowie deren Fraktionen: rohe Öle: zu technischen oder industriellen Zwecken, ausgenommen zum Herstellen von Lebensmitteln</t>
  </si>
  <si>
    <t>KAPITEL 15 - TIERISCHE UND PFLANZLICHE FETTE UND ÖLE; ERZEUGNISSE IHRER SPALTUNG; GENIESSBARE VERARBEITETE FETTE; WACHSE TIERISCHEN UND PFLANZLICHEN URSPRUNGS: Sonnenblumenöl, Safloröl und Baumwollsamenöl sowie deren Fraktionen, auch raffiniert, jedoch nicht chemisch modifiziert: Sonnenblumenöl und Safloröl sowie deren Fraktionen: rohe Öle: zu technischen oder industriellen Zwecken, ausgenommen zum Herstellen von Lebensmitteln</t>
  </si>
  <si>
    <t>Sonnenblumenöl</t>
  </si>
  <si>
    <t>KAPITEL 15 - TIERISCHE, PFLANZLICHE ODER MIKROBIELLE FETTE UND ÖLE UND ERZEUGNISSE IHRER SPALTUNG; GENIESSBARE VERARBEITETE FETTE; WACHSE TIERISCHEN ODER PFLANZLICHEN URSPRUNGS: Sonnenblumenöl, Safloröl und Baumwollsamenöl sowie deren Fraktionen, auch raffiniert, jedoch nicht chemisch modifiziert: Sonnenblumenöl und Safloröl sowie deren Fraktionen: rohe Öle: andere: Sonnenblumenöl</t>
  </si>
  <si>
    <t>KAPITEL 15 - TIERISCHE UND PFLANZLICHE FETTE UND ÖLE; ERZEUGNISSE IHRER SPALTUNG; GENIESSBARE VERARBEITETE FETTE; WACHSE TIERISCHEN UND PFLANZLICHEN URSPRUNGS: Sonnenblumenöl, Safloröl und Baumwollsamenöl sowie deren Fraktionen, auch raffiniert, jedoch nicht chemisch modifiziert: Sonnenblumenöl und Safloröl sowie deren Fraktionen: rohe Öle: andere: Sonnenblumenöl</t>
  </si>
  <si>
    <t>Safloröl</t>
  </si>
  <si>
    <t>KAPITEL 15 - TIERISCHE, PFLANZLICHE ODER MIKROBIELLE FETTE UND ÖLE UND ERZEUGNISSE IHRER SPALTUNG; GENIESSBARE VERARBEITETE FETTE; WACHSE TIERISCHEN ODER PFLANZLICHEN URSPRUNGS: Sonnenblumenöl, Safloröl und Baumwollsamenöl sowie deren Fraktionen, auch raffiniert, jedoch nicht chemisch modifiziert: Sonnenblumenöl und Safloröl sowie deren Fraktionen: rohe Öle: andere: Safloröl</t>
  </si>
  <si>
    <t>KAPITEL 15 - TIERISCHE UND PFLANZLICHE FETTE UND ÖLE; ERZEUGNISSE IHRER SPALTUNG; GENIESSBARE VERARBEITETE FETTE; WACHSE TIERISCHEN UND PFLANZLICHEN URSPRUNGS: Sonnenblumenöl, Safloröl und Baumwollsamenöl sowie deren Fraktionen, auch raffiniert, jedoch nicht chemisch modifiziert: Sonnenblumenöl und Safloröl sowie deren Fraktionen: rohe Öle: andere: Safloröl</t>
  </si>
  <si>
    <t>KAPITEL 15 - TIERISCHE, PFLANZLICHE ODER MIKROBIELLE FETTE UND ÖLE UND ERZEUGNISSE IHRER SPALTUNG; GENIESSBARE VERARBEITETE FETTE; WACHSE TIERISCHEN ODER PFLANZLICHEN URSPRUNGS: Sonnenblumenöl, Safloröl und Baumwollsamenöl sowie deren Fraktionen, auch raffiniert, jedoch nicht chemisch modifiziert: Sonnenblumenöl und Safloröl sowie deren Fraktionen: andere: zu technischen oder industriellen Zwecken, ausgenommen zum Herstellen von Lebensmitteln</t>
  </si>
  <si>
    <t>KAPITEL 15 - TIERISCHE UND PFLANZLICHE FETTE UND ÖLE; ERZEUGNISSE IHRER SPALTUNG; GENIESSBARE VERARBEITETE FETTE; WACHSE TIERISCHEN UND PFLANZLICHEN URSPRUNGS: Sonnenblumenöl, Safloröl und Baumwollsamenöl sowie deren Fraktionen, auch raffiniert, jedoch nicht chemisch modifiziert: Sonnenblumenöl und Safloröl sowie deren Fraktionen: andere: zu technischen oder industriellen Zwecken, ausgenommen zum Herstellen von Lebensmitteln</t>
  </si>
  <si>
    <t>KAPITEL 15 - TIERISCHE, PFLANZLICHE ODER MIKROBIELLE FETTE UND ÖLE UND ERZEUGNISSE IHRER SPALTUNG; GENIESSBARE VERARBEITETE FETTE; WACHSE TIERISCHEN ODER PFLANZLICHEN URSPRUNGS: Sonnenblumenöl, Safloröl und Baumwollsamenöl sowie deren Fraktionen, auch raffiniert, jedoch nicht chemisch modifiziert: Sonnenblumenöl und Safloröl sowie deren Fraktionen: andere: andere</t>
  </si>
  <si>
    <t>KAPITEL 15 - TIERISCHE UND PFLANZLICHE FETTE UND ÖLE; ERZEUGNISSE IHRER SPALTUNG; GENIESSBARE VERARBEITETE FETTE; WACHSE TIERISCHEN UND PFLANZLICHEN URSPRUNGS: Sonnenblumenöl, Safloröl und Baumwollsamenöl sowie deren Fraktionen, auch raffiniert, jedoch nicht chemisch modifiziert: Sonnenblumenöl und Safloröl sowie deren Fraktionen: andere: andere</t>
  </si>
  <si>
    <t>KAPITEL 15 - TIERISCHE, PFLANZLICHE ODER MIKROBIELLE FETTE UND ÖLE UND ERZEUGNISSE IHRER SPALTUNG; GENIESSBARE VERARBEITETE FETTE; WACHSE TIERISCHEN ODER PFLANZLICHEN URSPRUNGS: Sonnenblumenöl, Safloröl und Baumwollsamenöl sowie deren Fraktionen, auch raffiniert, jedoch nicht chemisch modifiziert: Baumwollsamenöl und seine Fraktionen: rohes Öl, auch von Gossypol befreit: zu technischen oder industriellen Zwecken, ausgenommen zum Herstellen von Lebensmitteln</t>
  </si>
  <si>
    <t>KAPITEL 15 - TIERISCHE UND PFLANZLICHE FETTE UND ÖLE; ERZEUGNISSE IHRER SPALTUNG; GENIESSBARE VERARBEITETE FETTE; WACHSE TIERISCHEN UND PFLANZLICHEN URSPRUNGS: Sonnenblumenöl, Safloröl und Baumwollsamenöl sowie deren Fraktionen, auch raffiniert, jedoch nicht chemisch modifiziert: Baumwollsamenöl und seine Fraktionen: rohes Öl, auch von Gossypol befreit: zu technischen oder industriellen Zwecken, ausgenommen zum Herstellen von Lebensmitteln</t>
  </si>
  <si>
    <t>KAPITEL 15 - TIERISCHE, PFLANZLICHE ODER MIKROBIELLE FETTE UND ÖLE UND ERZEUGNISSE IHRER SPALTUNG; GENIESSBARE VERARBEITETE FETTE; WACHSE TIERISCHEN ODER PFLANZLICHEN URSPRUNGS: Sonnenblumenöl, Safloröl und Baumwollsamenöl sowie deren Fraktionen, auch raffiniert, jedoch nicht chemisch modifiziert: Baumwollsamenöl und seine Fraktionen: rohes Öl, auch von Gossypol befreit: anderes</t>
  </si>
  <si>
    <t>KAPITEL 15 - TIERISCHE UND PFLANZLICHE FETTE UND ÖLE; ERZEUGNISSE IHRER SPALTUNG; GENIESSBARE VERARBEITETE FETTE; WACHSE TIERISCHEN UND PFLANZLICHEN URSPRUNGS: Sonnenblumenöl, Safloröl und Baumwollsamenöl sowie deren Fraktionen, auch raffiniert, jedoch nicht chemisch modifiziert: Baumwollsamenöl und seine Fraktionen: rohes Öl, auch von Gossypol befreit: anderes</t>
  </si>
  <si>
    <t>KAPITEL 15 - TIERISCHE, PFLANZLICHE ODER MIKROBIELLE FETTE UND ÖLE UND ERZEUGNISSE IHRER SPALTUNG; GENIESSBARE VERARBEITETE FETTE; WACHSE TIERISCHEN ODER PFLANZLICHEN URSPRUNGS: Sonnenblumenöl, Safloröl und Baumwollsamenöl sowie deren Fraktionen, auch raffiniert, jedoch nicht chemisch modifiziert: Baumwollsamenöl und seine Fraktionen: andere: zu technischen oder industriellen Zwecken, ausgenommen zum Herstellen von Lebensmitteln</t>
  </si>
  <si>
    <t>KAPITEL 15 - TIERISCHE UND PFLANZLICHE FETTE UND ÖLE; ERZEUGNISSE IHRER SPALTUNG; GENIESSBARE VERARBEITETE FETTE; WACHSE TIERISCHEN UND PFLANZLICHEN URSPRUNGS: Sonnenblumenöl, Safloröl und Baumwollsamenöl sowie deren Fraktionen, auch raffiniert, jedoch nicht chemisch modifiziert: Baumwollsamenöl und seine Fraktionen: andere: zu technischen oder industriellen Zwecken, ausgenommen zum Herstellen von Lebensmitteln</t>
  </si>
  <si>
    <t>KAPITEL 15 - TIERISCHE, PFLANZLICHE ODER MIKROBIELLE FETTE UND ÖLE UND ERZEUGNISSE IHRER SPALTUNG; GENIESSBARE VERARBEITETE FETTE; WACHSE TIERISCHEN ODER PFLANZLICHEN URSPRUNGS: Sonnenblumenöl, Safloröl und Baumwollsamenöl sowie deren Fraktionen, auch raffiniert, jedoch nicht chemisch modifiziert: Baumwollsamenöl und seine Fraktionen: andere: andere</t>
  </si>
  <si>
    <t>KAPITEL 15 - TIERISCHE UND PFLANZLICHE FETTE UND ÖLE; ERZEUGNISSE IHRER SPALTUNG; GENIESSBARE VERARBEITETE FETTE; WACHSE TIERISCHEN UND PFLANZLICHEN URSPRUNGS: Sonnenblumenöl, Safloröl und Baumwollsamenöl sowie deren Fraktionen, auch raffiniert, jedoch nicht chemisch modifiziert: Baumwollsamenöl und seine Fraktionen: andere: andere</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</si>
  <si>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Kokosöl (Kopraöl) und seine Fraktionen: rohes Öl: zu technischen oder industriellen Zwecken, ausgenommen zum Herstellen von Lebensmitteln</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</si>
  <si>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Kokosöl (Kopraöl) und seine Fraktionen: rohes Öl: zu technischen oder industriellen Zwecken, ausgenommen zum Herstellen von Lebensmitteln</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</si>
  <si>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Kokosöl (Kopraöl) und seine Fraktionen: rohes Öl: anderes: in unmittelbaren Umschließungen mit einem Gewicht des Inhalts von 1 kg oder weniger</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</si>
  <si>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Kokosöl (Kopraöl) und seine Fraktionen: rohes Öl: anderes: in unmittelbaren Umschließungen mit einem Gewicht des Inhalts von 1 kg oder weniger</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</si>
  <si>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Kokosöl (Kopraöl) und seine Fraktionen: rohes Öl: anderes: in anderer Aufmachung</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</si>
  <si>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Kokosöl (Kopraöl) und seine Fraktionen: rohes Öl: anderes: in anderer Aufmachung</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</si>
  <si>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Kokosöl (Kopraöl) und seine Fraktionen: andere: feste Fraktionen: in unmittelbaren Umschließungen mit einem Gewicht des Inhalts von 1 kg oder weniger</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</si>
  <si>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Kokosöl (Kopraöl) und seine Fraktionen: andere: feste Fraktionen: in unmittelbaren Umschließungen mit einem Gewicht des Inhalts von 1 kg oder weniger</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</si>
  <si>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Kokosöl (Kopraöl) und seine Fraktionen: andere: feste Fraktionen: in anderer Aufmachung</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</si>
  <si>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Kokosöl (Kopraöl) und seine Fraktionen: andere: feste Fraktionen: in anderer Aufmachung</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</si>
  <si>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Kokosöl (Kopraöl) und seine Fraktionen: andere: andere: zu technischen oder industriellen Zwecken, ausgenommen zum Herstellen von Lebensmitteln</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</si>
  <si>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Kokosöl (Kopraöl) und seine Fraktionen: andere: andere: zu technischen oder industriellen Zwecken, ausgenommen zum Herstellen von Lebensmitteln</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</si>
  <si>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Kokosöl (Kopraöl) und seine Fraktionen: andere: andere: andere: in unmittelbaren Umschließungen mit einem Gewicht des Inhalts von 1 kg oder weniger</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</si>
  <si>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Kokosöl (Kopraöl) und seine Fraktionen: andere: andere: andere: in unmittelbaren Umschließungen mit einem Gewicht des Inhalts von 1 kg oder weniger</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</si>
  <si>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Kokosöl (Kopraöl) und seine Fraktionen: andere: andere: andere: in anderer Aufmachung</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</si>
  <si>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Kokosöl (Kopraöl) und seine Fraktionen: andere: andere: andere: in anderer Aufmachung</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</si>
  <si>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Palmkernöl und Babassuöl sowie deren Fraktionen: rohe Öle: zu technischen oder industriellen Zwecken, ausgenommen zum Herstellen von Lebensmitteln</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</si>
  <si>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Palmkernöl und Babassuöl sowie deren Fraktionen: rohe Öle: zu technischen oder industriellen Zwecken, ausgenommen zum Herstellen von Lebensmitteln</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</si>
  <si>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Palmkernöl und Babassuöl sowie deren Fraktionen: rohe Öle: andere: in unmittelbaren Umschließungen mit einem Gewicht des Inhalts von 1 kg oder weniger</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</si>
  <si>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Palmkernöl und Babassuöl sowie deren Fraktionen: rohe Öle: andere: in unmittelbaren Umschließungen mit einem Gewicht des Inhalts von 1 kg oder weniger</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</si>
  <si>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Palmkernöl und Babassuöl sowie deren Fraktionen: rohe Öle: andere: in anderer Aufmachung</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</si>
  <si>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Palmkernöl und Babassuöl sowie deren Fraktionen: rohe Öle: andere: in anderer Aufmachung</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</si>
  <si>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Palmkernöl und Babassuöl sowie deren Fraktionen: andere: feste Fraktionen: in unmittelbaren Umschließungen mit einem Gewicht des Inhalts von 1 kg oder weniger</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</si>
  <si>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Palmkernöl und Babassuöl sowie deren Fraktionen: andere: feste Fraktionen: in unmittelbaren Umschließungen mit einem Gewicht des Inhalts von 1 kg oder weniger</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</si>
  <si>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Palmkernöl und Babassuöl sowie deren Fraktionen: andere: feste Fraktionen: in anderer Aufmachung</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</si>
  <si>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Palmkernöl und Babassuöl sowie deren Fraktionen: andere: feste Fraktionen: in anderer Aufmachung</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</si>
  <si>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Palmkernöl und Babassuöl sowie deren Fraktionen: andere: andere: zu technischen oder industriellen Zwecken, ausgenommen zum Herstellen von Lebensmitteln</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</si>
  <si>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Palmkernöl und Babassuöl sowie deren Fraktionen: andere: andere: zu technischen oder industriellen Zwecken, ausgenommen zum Herstellen von Lebensmitteln</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</si>
  <si>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Palmkernöl und Babassuöl sowie deren Fraktionen: andere: andere: andere: in unmittelbaren Umschließungen mit einem Gewicht des Inhalts von 1 kg oder weniger</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</si>
  <si>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Palmkernöl und Babassuöl sowie deren Fraktionen: andere: andere: andere: in unmittelbaren Umschließungen mit einem Gewicht des Inhalts von 1 kg oder weniger</t>
  </si>
  <si>
    <t>KAPITEL 15 - TIERISCHE, PFLANZLICHE ODER MIKROBIELLE FETTE UND ÖLE UND ERZEUGNISSE IHRER SPALTUNG; GENIESSBARE VERARBEITETE FETTE; WACHSE TIERISCHEN ODER PFLANZLICHEN URSPRUNGS: Kokosöl (Kopraöl), Palmkernöl und Babassuöl sowie deren Fraktionen, auch raffiniert, jedoch nicht chemisch modifiziert: Palmkernöl und Babassuöl sowie deren Fraktionen: andere: andere: andere: in anderer Aufmachung</t>
  </si>
  <si>
    <t>KAPITEL 15 - TIERISCHE UND PFLANZLICHE FETTE UND ÖLE; ERZEUGNISSE IHRER SPALTUNG; GENIESSBARE VERARBEITETE FETTE; WACHSE TIERISCHEN UND PFLANZLICHEN URSPRUNGS: Kokosöl (Kopraöl), Palmkernöl und Babassuöl sowie deren Fraktionen, auch raffiniert, jedoch nicht chemisch modifiziert: Palmkernöl und Babassuöl sowie deren Fraktionen: andere: andere: andere: in anderer Aufmachung</t>
  </si>
  <si>
    <t>KAPITEL 15 - TIERISCHE, PFLANZLICHE ODER MIKROBIELLE FETTE UND ÖLE UND ERZEUGNISSE IHRER SPALTUNG; GENIESSBARE VERARBEITETE FETTE; WACHSE TIERISCHEN ODER PFLANZLICHEN URSPRUNGS: Raps- und Rübsenöl und Senföl sowie deren Fraktionen, auch raffiniert, jedoch nicht chemisch modifiziert: erucasäurearmes Raps- und Rübsenöl sowie deren Fraktionen: rohe Öle: zu technischen oder industriellen Zwecken, ausgenommen zum Herstellen von Lebensmitteln</t>
  </si>
  <si>
    <t>KAPITEL 15 - TIERISCHE UND PFLANZLICHE FETTE UND ÖLE; ERZEUGNISSE IHRER SPALTUNG; GENIESSBARE VERARBEITETE FETTE; WACHSE TIERISCHEN UND PFLANZLICHEN URSPRUNGS: Raps- und Rübsenöl und Senföl sowie deren Fraktionen, auch raffiniert, jedoch nicht chemisch modifiziert: erucasäurearmes Raps- und Rübsenöl sowie deren Fraktionen: rohe Öle: zu technischen oder industriellen Zwecken, ausgenommen zum Herstellen von Lebensmitteln</t>
  </si>
  <si>
    <t>KAPITEL 15 - TIERISCHE, PFLANZLICHE ODER MIKROBIELLE FETTE UND ÖLE UND ERZEUGNISSE IHRER SPALTUNG; GENIESSBARE VERARBEITETE FETTE; WACHSE TIERISCHEN ODER PFLANZLICHEN URSPRUNGS: Raps- und Rübsenöl und Senföl sowie deren Fraktionen, auch raffiniert, jedoch nicht chemisch modifiziert: erucasäurearmes Raps- und Rübsenöl sowie deren Fraktionen: rohe Öle: andere</t>
  </si>
  <si>
    <t>KAPITEL 15 - TIERISCHE UND PFLANZLICHE FETTE UND ÖLE; ERZEUGNISSE IHRER SPALTUNG; GENIESSBARE VERARBEITETE FETTE; WACHSE TIERISCHEN UND PFLANZLICHEN URSPRUNGS: Raps- und Rübsenöl und Senföl sowie deren Fraktionen, auch raffiniert, jedoch nicht chemisch modifiziert: erucasäurearmes Raps- und Rübsenöl sowie deren Fraktionen: rohe Öle: andere</t>
  </si>
  <si>
    <t>KAPITEL 15 - TIERISCHE, PFLANZLICHE ODER MIKROBIELLE FETTE UND ÖLE UND ERZEUGNISSE IHRER SPALTUNG; GENIESSBARE VERARBEITETE FETTE; WACHSE TIERISCHEN ODER PFLANZLICHEN URSPRUNGS: Raps- und Rübsenöl und Senföl sowie deren Fraktionen, auch raffiniert, jedoch nicht chemisch modifiziert: erucasäurearmes Raps- und Rübsenöl sowie deren Fraktionen: andere: zu technischen oder industriellen Zwecken, ausgenommen zum Herstellen von Lebensmitteln</t>
  </si>
  <si>
    <t>KAPITEL 15 - TIERISCHE UND PFLANZLICHE FETTE UND ÖLE; ERZEUGNISSE IHRER SPALTUNG; GENIESSBARE VERARBEITETE FETTE; WACHSE TIERISCHEN UND PFLANZLICHEN URSPRUNGS: Raps- und Rübsenöl und Senföl sowie deren Fraktionen, auch raffiniert, jedoch nicht chemisch modifiziert: erucasäurearmes Raps- und Rübsenöl sowie deren Fraktionen: andere: zu technischen oder industriellen Zwecken, ausgenommen zum Herstellen von Lebensmitteln</t>
  </si>
  <si>
    <t>KAPITEL 15 - TIERISCHE, PFLANZLICHE ODER MIKROBIELLE FETTE UND ÖLE UND ERZEUGNISSE IHRER SPALTUNG; GENIESSBARE VERARBEITETE FETTE; WACHSE TIERISCHEN ODER PFLANZLICHEN URSPRUNGS: Raps- und Rübsenöl und Senföl sowie deren Fraktionen, auch raffiniert, jedoch nicht chemisch modifiziert: erucasäurearmes Raps- und Rübsenöl sowie deren Fraktionen: andere: andere</t>
  </si>
  <si>
    <t>KAPITEL 15 - TIERISCHE UND PFLANZLICHE FETTE UND ÖLE; ERZEUGNISSE IHRER SPALTUNG; GENIESSBARE VERARBEITETE FETTE; WACHSE TIERISCHEN UND PFLANZLICHEN URSPRUNGS: Raps- und Rübsenöl und Senföl sowie deren Fraktionen, auch raffiniert, jedoch nicht chemisch modifiziert: erucasäurearmes Raps- und Rübsenöl sowie deren Fraktionen: andere: andere</t>
  </si>
  <si>
    <t>KAPITEL 15 - TIERISCHE, PFLANZLICHE ODER MIKROBIELLE FETTE UND ÖLE UND ERZEUGNISSE IHRER SPALTUNG; GENIESSBARE VERARBEITETE FETTE; WACHSE TIERISCHEN ODER PFLANZLICHEN URSPRUNGS: Raps- und Rübsenöl und Senföl sowie deren Fraktionen, auch raffiniert, jedoch nicht chemisch modifiziert: andere: rohe Öle: zu technischen oder industriellen Zwecken, ausgenommen zum Herstellen von Lebensmitteln</t>
  </si>
  <si>
    <t>KAPITEL 15 - TIERISCHE UND PFLANZLICHE FETTE UND ÖLE; ERZEUGNISSE IHRER SPALTUNG; GENIESSBARE VERARBEITETE FETTE; WACHSE TIERISCHEN UND PFLANZLICHEN URSPRUNGS: Raps- und Rübsenöl und Senföl sowie deren Fraktionen, auch raffiniert, jedoch nicht chemisch modifiziert: andere: rohe Öle: zu technischen oder industriellen Zwecken, ausgenommen zum Herstellen von Lebensmitteln</t>
  </si>
  <si>
    <t>KAPITEL 15 - TIERISCHE, PFLANZLICHE ODER MIKROBIELLE FETTE UND ÖLE UND ERZEUGNISSE IHRER SPALTUNG; GENIESSBARE VERARBEITETE FETTE; WACHSE TIERISCHEN ODER PFLANZLICHEN URSPRUNGS: Raps- und Rübsenöl und Senföl sowie deren Fraktionen, auch raffiniert, jedoch nicht chemisch modifiziert: andere: rohe Öle: andere</t>
  </si>
  <si>
    <t>KAPITEL 15 - TIERISCHE UND PFLANZLICHE FETTE UND ÖLE; ERZEUGNISSE IHRER SPALTUNG; GENIESSBARE VERARBEITETE FETTE; WACHSE TIERISCHEN UND PFLANZLICHEN URSPRUNGS: Raps- und Rübsenöl und Senföl sowie deren Fraktionen, auch raffiniert, jedoch nicht chemisch modifiziert: andere: rohe Öle: andere</t>
  </si>
  <si>
    <t>KAPITEL 15 - TIERISCHE, PFLANZLICHE ODER MIKROBIELLE FETTE UND ÖLE UND ERZEUGNISSE IHRER SPALTUNG; GENIESSBARE VERARBEITETE FETTE; WACHSE TIERISCHEN ODER PFLANZLICHEN URSPRUNGS: Raps- und Rübsenöl und Senföl sowie deren Fraktionen, auch raffiniert, jedoch nicht chemisch modifiziert: andere: andere: zu technischen oder industriellen Zwecken, ausgenommen zum Herstellen von Lebensmitteln</t>
  </si>
  <si>
    <t>KAPITEL 15 - TIERISCHE UND PFLANZLICHE FETTE UND ÖLE; ERZEUGNISSE IHRER SPALTUNG; GENIESSBARE VERARBEITETE FETTE; WACHSE TIERISCHEN UND PFLANZLICHEN URSPRUNGS: Raps- und Rübsenöl und Senföl sowie deren Fraktionen, auch raffiniert, jedoch nicht chemisch modifiziert: andere: andere: zu technischen oder industriellen Zwecken, ausgenommen zum Herstellen von Lebensmitteln</t>
  </si>
  <si>
    <t>KAPITEL 15 - TIERISCHE, PFLANZLICHE ODER MIKROBIELLE FETTE UND ÖLE UND ERZEUGNISSE IHRER SPALTUNG; GENIESSBARE VERARBEITETE FETTE; WACHSE TIERISCHEN ODER PFLANZLICHEN URSPRUNGS: Raps- und Rübsenöl und Senföl sowie deren Fraktionen, auch raffiniert, jedoch nicht chemisch modifiziert: andere: andere: andere</t>
  </si>
  <si>
    <t>KAPITEL 15 - TIERISCHE UND PFLANZLICHE FETTE UND ÖLE; ERZEUGNISSE IHRER SPALTUNG; GENIESSBARE VERARBEITETE FETTE; WACHSE TIERISCHEN UND PFLANZLICHEN URSPRUNGS: Raps- und Rübsenöl und Senföl sowie deren Fraktionen, auch raffiniert, jedoch nicht chemisch modifiziert: andere: andere: andere</t>
  </si>
  <si>
    <t>rohes Öl</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</si>
  <si>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Leinöl und seine Fraktionen: rohes Öl</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</si>
  <si>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Leinöl und seine Fraktionen: rohes Öl</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</si>
  <si>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Leinöl und seine Fraktionen: andere: zu technischen oder industriellen Zwecken, ausgenommen zum Herstellen von Lebensmitteln</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</si>
  <si>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Leinöl und seine Fraktionen: andere: zu technischen oder industriellen Zwecken, ausgenommen zum Herstellen von Lebensmitteln</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</si>
  <si>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Leinöl und seine Fraktionen: andere: andere</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</si>
  <si>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Leinöl und seine Fraktionen: andere: andere</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</si>
  <si>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Maisöl und seine Fraktionen: rohes Öl: zu technischen oder industriellen Zwecken, ausgenommen zum Herstellen von Lebensmitteln</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</si>
  <si>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Maisöl und seine Fraktionen: rohes Öl: zu technischen oder industriellen Zwecken, ausgenommen zum Herstellen von Lebensmitteln</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</si>
  <si>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Maisöl und seine Fraktionen: rohes Öl: anderes</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</si>
  <si>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Maisöl und seine Fraktionen: rohes Öl: anderes</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</si>
  <si>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Maisöl und seine Fraktionen: andere: zu technischen oder industriellen Zwecken, ausgenommen zum Herstellen von Lebensmitteln</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</si>
  <si>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Maisöl und seine Fraktionen: andere: zu technischen oder industriellen Zwecken, ausgenommen zum Herstellen von Lebensmitteln</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</si>
  <si>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Maisöl und seine Fraktionen: andere: andere</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</si>
  <si>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Maisöl und seine Fraktionen: andere: andere</t>
  </si>
  <si>
    <t>zum Herstellen von Aminoundecansäure zum Erzeugen von synthetischen Chemiefasern oder Kunststoffen</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</si>
  <si>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Rizinusöl und seine Fraktionen: zum Herstellen von Aminoundecansäure zum Erzeugen von synthetischen Chemiefasern oder Kunststoffen</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</si>
  <si>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Rizinusöl und seine Fraktionen: zum Herstellen von Aminoundecansäure zum Erzeugen von synthetischen Chemiefasern oder Kunststoffen</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</si>
  <si>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Rizinusöl und seine Fraktionen: andere</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</si>
  <si>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Rizinusöl und seine Fraktionen: andere</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</si>
  <si>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Sesamöl und seine Fraktionen: rohes Öl: zu technischen oder industriellen Zwecken, ausgenommen zum Herstellen von Lebensmitteln</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</si>
  <si>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Sesamöl und seine Fraktionen: rohes Öl: zu technischen oder industriellen Zwecken, ausgenommen zum Herstellen von Lebensmitteln</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</si>
  <si>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Sesamöl und seine Fraktionen: rohes Öl: anderes</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</si>
  <si>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Sesamöl und seine Fraktionen: rohes Öl: anderes</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</si>
  <si>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Sesamöl und seine Fraktionen: andere: zu technischen oder industriellen Zwecken, ausgenommen zum Herstellen von Lebensmitteln</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</si>
  <si>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Sesamöl und seine Fraktionen: andere: zu technischen oder industriellen Zwecken, ausgenommen zum Herstellen von Lebensmitteln</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</si>
  <si>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Sesamöl und seine Fraktionen: andere: andere</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</si>
  <si>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Sesamöl und seine Fraktionen: andere: andere</t>
  </si>
  <si>
    <t>Tungöl (Holzöl); Jojobaöl und Oiticicaöl; Myrtenwachs und Japanwachs; deren Fraktionen</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</si>
  <si>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andere: Tungöl (Holzöl); Jojobaöl und Oiticicaöl; Myrtenwachs und Japanwachs; deren Fraktionen</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</si>
  <si>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andere: Tungöl (Holzöl); Jojobaöl und Oiticicaöl; Myrtenwachs und Japanwachs; deren Fraktionen</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</si>
  <si>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andere: Tabaksamenöl und seine Fraktionen: rohes Öl: zu technischen oder industriellen Zwecken, ausgenommen zum Herstellen von Lebensmitteln</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</si>
  <si>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andere: Tabaksamenöl und seine Fraktionen: rohes Öl: zu technischen oder industriellen Zwecken, ausgenommen zum Herstellen von Lebensmitteln</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</si>
  <si>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andere: Tabaksamenöl und seine Fraktionen: rohes Öl: anderes</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</si>
  <si>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andere: Tabaksamenöl und seine Fraktionen: rohes Öl: anderes</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</si>
  <si>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andere: Tabaksamenöl und seine Fraktionen: andere: zu technischen oder industriellen Zwecken, ausgenommen zum Herstellen von Lebensmitteln</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</si>
  <si>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andere: Tabaksamenöl und seine Fraktionen: andere: zu technischen oder industriellen Zwecken, ausgenommen zum Herstellen von Lebensmitteln</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</si>
  <si>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andere: Tabaksamenöl und seine Fraktionen: andere: andere</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</si>
  <si>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andere: Tabaksamenöl und seine Fraktionen: andere: andere</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</si>
  <si>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andere: andere Fette und Öle sowie deren Fraktionen: rohe Fette und Öle: zu technischen oder industriellen Zwecken, ausgenommen zum Herstellen von Lebensmitteln</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</si>
  <si>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andere: andere Fette und Öle sowie deren Fraktionen: rohe Fette und Öle: zu technischen oder industriellen Zwecken, ausgenommen zum Herstellen von Lebensmitteln</t>
  </si>
  <si>
    <t>fest, in unmittelbaren Umschließungen mit einem Gewicht des Inhalts von 1 kg oder weniger</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</si>
  <si>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andere: andere Fette und Öle sowie deren Fraktionen: rohe Fette und Öle: andere: fest, in unmittelbaren Umschließungen mit einem Gewicht des Inhalts von 1 kg oder weniger</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</si>
  <si>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andere: andere Fette und Öle sowie deren Fraktionen: rohe Fette und Öle: andere: fest, in unmittelbaren Umschließungen mit einem Gewicht des Inhalts von 1 kg oder weniger</t>
  </si>
  <si>
    <t>fest, in anderen Aufmachungen; flüssig</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</si>
  <si>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andere: andere Fette und Öle sowie deren Fraktionen: rohe Fette und Öle: andere: fest, in anderen Aufmachungen; flüssig</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</si>
  <si>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andere: andere Fette und Öle sowie deren Fraktionen: rohe Fette und Öle: andere: fest, in anderen Aufmachungen; flüssig</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</si>
  <si>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andere: andere Fette und Öle sowie deren Fraktionen: andere: zu technischen oder industriellen Zwecken, ausgenommen zum Herstellen von Lebensmitteln</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</si>
  <si>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andere: andere Fette und Öle sowie deren Fraktionen: andere: zu technischen oder industriellen Zwecken, ausgenommen zum Herstellen von Lebensmitteln</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</si>
  <si>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andere: andere Fette und Öle sowie deren Fraktionen: andere: andere: fest, in unmittelbaren Umschließungen mit einem Gewicht des Inhalts von 1 kg oder weniger</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</si>
  <si>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andere: andere Fette und Öle sowie deren Fraktionen: andere: andere: fest, in unmittelbaren Umschließungen mit einem Gewicht des Inhalts von 1 kg oder weniger</t>
  </si>
  <si>
    <t>KAPITEL 15 - TIERISCHE, PFLANZLICHE ODER MIKROBIELLE FETTE UND ÖLE UND ERZEUGNISSE IHRER SPALTUNG; GENIESSBARE VERARBEITETE FETTE; WACHSE TIERISCHEN ODER PFLANZLICHEN URSPRUNGS: Andere pflanzliche oder mikrobielle Fette und fette Öle (einschließlich Jojobaöl) sowie deren Fraktionen, auch raffiniert, jedoch nicht chemisch modifiziert: andere: andere Fette und Öle sowie deren Fraktionen: andere: andere: fest, in anderen Aufmachungen; flüssig</t>
  </si>
  <si>
    <t>KAPITEL 15 - TIERISCHE UND PFLANZLICHE FETTE UND ÖLE; ERZEUGNISSE IHRER SPALTUNG; GENIESSBARE VERARBEITETE FETTE; WACHSE TIERISCHEN UND PFLANZLICHEN URSPRUNGS: Andere pflanzliche Fette und fette Öle (einschließlich Jojobaöl) sowie deren Fraktionen, auch raffiniert, jedoch nicht chemisch modifiziert: andere: andere Fette und Öle sowie deren Fraktionen: andere: andere: fest, in anderen Aufmachungen; flüssig</t>
  </si>
  <si>
    <t>KAPITEL 15 - TIERISCHE, PFLANZLICHE ODER MIKROBIELLE FETTE UND ÖLE UND ERZEUGNISSE IHRER SPALTUNG; GENIESSBARE VERARBEITETE FETTE; WACHSE TIERISCHEN ODER PFLANZLICHEN URSPRUNGS: Tierische, pflanzliche oder mikrobielle Fette und Öle sowie deren Fraktionen, ganz oder teilweise hydriert, umgeestert, wiederverestert oder elaidiniert, auch raffiniert, jedoch nicht weiterverarbeitet: tierische Fette und Öle sowie deren Fraktionen: in unmittelbaren Umschließungen mit einem Gewicht des Inhalts von 1 kg oder weniger</t>
  </si>
  <si>
    <t>KAPITEL 15 - TIERISCHE UND PFLANZLICHE FETTE UND ÖLE; ERZEUGNISSE IHRER SPALTUNG; GENIESSBARE VERARBEITETE FETTE; WACHSE TIERISCHEN UND PFLANZLICHEN URSPRUNGS: Tierische und pflanzliche Fette und Öle sowie deren Fraktionen, ganz oder teilweise hydriert, umgeestert, wiederverestert oder elaidiniert, auch raffiniert, jedoch nicht weiterverarbeitet: tierische Fette und Öle sowie deren Fraktionen: in unmittelbaren Umschließungen mit einem Gewicht des Inhalts von 1 kg oder weniger</t>
  </si>
  <si>
    <t>KAPITEL 15 - TIERISCHE, PFLANZLICHE ODER MIKROBIELLE FETTE UND ÖLE UND ERZEUGNISSE IHRER SPALTUNG; GENIESSBARE VERARBEITETE FETTE; WACHSE TIERISCHEN ODER PFLANZLICHEN URSPRUNGS: Tierische, pflanzliche oder mikrobielle Fette und Öle sowie deren Fraktionen, ganz oder teilweise hydriert, umgeestert, wiederverestert oder elaidiniert, auch raffiniert, jedoch nicht weiterverarbeitet: tierische Fette und Öle sowie deren Fraktionen: in anderer Aufmachung</t>
  </si>
  <si>
    <t>KAPITEL 15 - TIERISCHE UND PFLANZLICHE FETTE UND ÖLE; ERZEUGNISSE IHRER SPALTUNG; GENIESSBARE VERARBEITETE FETTE; WACHSE TIERISCHEN UND PFLANZLICHEN URSPRUNGS: Tierische und pflanzliche Fette und Öle sowie deren Fraktionen, ganz oder teilweise hydriert, umgeestert, wiederverestert oder elaidiniert, auch raffiniert, jedoch nicht weiterverarbeitet: tierische Fette und Öle sowie deren Fraktionen: in anderer Aufmachung</t>
  </si>
  <si>
    <t>hydriertes Rizinusöl (sog. Opalwachs)</t>
  </si>
  <si>
    <t>KAPITEL 15 - TIERISCHE, PFLANZLICHE ODER MIKROBIELLE FETTE UND ÖLE UND ERZEUGNISSE IHRER SPALTUNG; GENIESSBARE VERARBEITETE FETTE; WACHSE TIERISCHEN ODER PFLANZLICHEN URSPRUNGS: Tierische, pflanzliche oder mikrobielle Fette und Öle sowie deren Fraktionen, ganz oder teilweise hydriert, umgeestert, wiederverestert oder elaidiniert, auch raffiniert, jedoch nicht weiterverarbeitet: pflanzliche Fette und Öle sowie deren Fraktionen: hydriertes Rizinusöl (sog. Opalwachs)</t>
  </si>
  <si>
    <t>KAPITEL 15 - TIERISCHE UND PFLANZLICHE FETTE UND ÖLE; ERZEUGNISSE IHRER SPALTUNG; GENIESSBARE VERARBEITETE FETTE; WACHSE TIERISCHEN UND PFLANZLICHEN URSPRUNGS: Tierische und pflanzliche Fette und Öle sowie deren Fraktionen, ganz oder teilweise hydriert, umgeestert, wiederverestert oder elaidiniert, auch raffiniert, jedoch nicht weiterverarbeitet: pflanzliche Fette und Öle sowie deren Fraktionen: hydriertes Rizinusöl (sog. Opalwachs)</t>
  </si>
  <si>
    <t>KAPITEL 15 - TIERISCHE, PFLANZLICHE ODER MIKROBIELLE FETTE UND ÖLE UND ERZEUGNISSE IHRER SPALTUNG; GENIESSBARE VERARBEITETE FETTE; WACHSE TIERISCHEN ODER PFLANZLICHEN URSPRUNGS: Tierische, pflanzliche oder mikrobielle Fette und Öle sowie deren Fraktionen, ganz oder teilweise hydriert, umgeestert, wiederverestert oder elaidiniert, auch raffiniert, jedoch nicht weiterverarbeitet: pflanzliche Fette und Öle sowie deren Fraktionen: andere: in unmittelbaren Umschließungen mit einem Gewicht des Inhalts von 1 kg oder weniger</t>
  </si>
  <si>
    <t>KAPITEL 15 - TIERISCHE UND PFLANZLICHE FETTE UND ÖLE; ERZEUGNISSE IHRER SPALTUNG; GENIESSBARE VERARBEITETE FETTE; WACHSE TIERISCHEN UND PFLANZLICHEN URSPRUNGS: Tierische und pflanzliche Fette und Öle sowie deren Fraktionen, ganz oder teilweise hydriert, umgeestert, wiederverestert oder elaidiniert, auch raffiniert, jedoch nicht weiterverarbeitet: pflanzliche Fette und Öle sowie deren Fraktionen: andere: in unmittelbaren Umschließungen mit einem Gewicht des Inhalts von 1 kg oder weniger</t>
  </si>
  <si>
    <t>Raps- und Rübsenöl, Leinöl, Sonnenblumenöl, Illipefett, Karitefett, Domorifett, Tulucunaöl oder Babassuöl, zu technischen oder industriellen Zwecken, ausgenommen zum Herstellen von Lebensmitteln</t>
  </si>
  <si>
    <t>KAPITEL 15 - TIERISCHE, PFLANZLICHE ODER MIKROBIELLE FETTE UND ÖLE UND ERZEUGNISSE IHRER SPALTUNG; GENIESSBARE VERARBEITETE FETTE; WACHSE TIERISCHEN ODER PFLANZLICHEN URSPRUNGS: Tierische, pflanzliche oder mikrobielle Fette und Öle sowie deren Fraktionen, ganz oder teilweise hydriert, umgeestert, wiederverestert oder elaidiniert, auch raffiniert, jedoch nicht weiterverarbeitet: pflanzliche Fette und Öle sowie deren Fraktionen: andere: in anderer Aufmachung: Raps- und Rübsenöl, Leinöl, Sonnenblumenöl, Illipefett, Karitefett, Domorifett, Tulucunaöl oder Babassuöl, zu technischen oder industriellen Zwecken, ausgenommen zum Herstellen von Lebensmitteln</t>
  </si>
  <si>
    <t>KAPITEL 15 - TIERISCHE UND PFLANZLICHE FETTE UND ÖLE; ERZEUGNISSE IHRER SPALTUNG; GENIESSBARE VERARBEITETE FETTE; WACHSE TIERISCHEN UND PFLANZLICHEN URSPRUNGS: Tierische und pflanzliche Fette und Öle sowie deren Fraktionen, ganz oder teilweise hydriert, umgeestert, wiederverestert oder elaidiniert, auch raffiniert, jedoch nicht weiterverarbeitet: pflanzliche Fette und Öle sowie deren Fraktionen: andere: in anderer Aufmachung: Raps- und Rübsenöl, Leinöl, Sonnenblumenöl, Illipefett, Karitefett, Domorifett, Tulucunaöl oder Babassuöl, zu technischen oder industriellen Zwecken, ausgenommen zum Herstellen von Lebensmitteln</t>
  </si>
  <si>
    <t>Erdnussöl, Baumwollsaatöl, Sojaöl oder Sonnenblumenöl; andere Öle mit einem Gehalt an freien Fettsäuren von weniger als 50 GHT und ausgenommen Palmkernöl, Illipefett, Kokosöl (Kopraöl), Raps- und Rübsenöl oder Kopaivaöl</t>
  </si>
  <si>
    <t>KAPITEL 15 - TIERISCHE, PFLANZLICHE ODER MIKROBIELLE FETTE UND ÖLE UND ERZEUGNISSE IHRER SPALTUNG; GENIESSBARE VERARBEITETE FETTE; WACHSE TIERISCHEN ODER PFLANZLICHEN URSPRUNGS: Tierische, pflanzliche oder mikrobielle Fette und Öle sowie deren Fraktionen, ganz oder teilweise hydriert, umgeestert, wiederverestert oder elaidiniert, auch raffiniert, jedoch nicht weiterverarbeitet: pflanzliche Fette und Öle sowie deren Fraktionen: andere: in anderer Aufmachung: andere: Erdnussöl, Baumwollsaatöl, Sojaöl oder Sonnenblumenöl; andere Öle mit einem Gehalt an freien Fettsäuren von weniger als 50 GHT und ausgenommen Palmkernöl, Illipefett, Kokosöl (Kopraöl), Raps- und Rübsenöl oder Kopaivaöl</t>
  </si>
  <si>
    <t>KAPITEL 15 - TIERISCHE UND PFLANZLICHE FETTE UND ÖLE; ERZEUGNISSE IHRER SPALTUNG; GENIESSBARE VERARBEITETE FETTE; WACHSE TIERISCHEN UND PFLANZLICHEN URSPRUNGS: Tierische und pflanzliche Fette und Öle sowie deren Fraktionen, ganz oder teilweise hydriert, umgeestert, wiederverestert oder elaidiniert, auch raffiniert, jedoch nicht weiterverarbeitet: pflanzliche Fette und Öle sowie deren Fraktionen: andere: in anderer Aufmachung: andere: Erdnussöl, Baumwollsaatöl, Sojaöl oder Sonnenblumenöl; andere Öle mit einem Gehalt an freien Fettsäuren von weniger als 50 GHT und ausgenommen Palmkernöl, Illipefett, Kokosöl (Kopraöl), Raps- und Rübsenöl oder Kopaivaöl</t>
  </si>
  <si>
    <t>KAPITEL 15 - TIERISCHE, PFLANZLICHE ODER MIKROBIELLE FETTE UND ÖLE UND ERZEUGNISSE IHRER SPALTUNG; GENIESSBARE VERARBEITETE FETTE; WACHSE TIERISCHEN ODER PFLANZLICHEN URSPRUNGS: Tierische, pflanzliche oder mikrobielle Fette und Öle sowie deren Fraktionen, ganz oder teilweise hydriert, umgeestert, wiederverestert oder elaidiniert, auch raffiniert, jedoch nicht weiterverarbeitet: pflanzliche Fette und Öle sowie deren Fraktionen: andere: in anderer Aufmachung: andere: andere</t>
  </si>
  <si>
    <t>KAPITEL 15 - TIERISCHE UND PFLANZLICHE FETTE UND ÖLE; ERZEUGNISSE IHRER SPALTUNG; GENIESSBARE VERARBEITETE FETTE; WACHSE TIERISCHEN UND PFLANZLICHEN URSPRUNGS: Tierische und pflanzliche Fette und Öle sowie deren Fraktionen, ganz oder teilweise hydriert, umgeestert, wiederverestert oder elaidiniert, auch raffiniert, jedoch nicht weiterverarbeitet: pflanzliche Fette und Öle sowie deren Fraktionen: andere: in anderer Aufmachung: andere: andere</t>
  </si>
  <si>
    <t>mit einem Milchfettgehalt von mehr als 10 bis 15 GHT</t>
  </si>
  <si>
    <t>KAPITEL 15 - TIERISCHE, PFLANZLICHE ODER MIKROBIELLE FETTE UND ÖLE UND ERZEUGNISSE IHRER SPALTUNG; GENIESSBARE VERARBEITETE FETTE; WACHSE TIERISCHEN ODER PFLANZLICHEN URSPRUNGS: Margarine; genießbare Mischungen und Zubereitungen von tierischen, pflanzlichen oder mikrobiellen Fetten und Ölen sowie von Fraktionen verschiedener Fette und Öle dieses Kapitels, ausgenommen genießbare Fette und Öle sowie deren Fraktionen der Position 1516: Margarine, ausgenommen flüssige Margarine: mit einem Milchfettgehalt von mehr als 10 bis 15 GHT</t>
  </si>
  <si>
    <t>KAPITEL 15 - TIERISCHE UND PFLANZLICHE FETTE UND ÖLE; ERZEUGNISSE IHRER SPALTUNG; GENIESSBARE VERARBEITETE FETTE; WACHSE TIERISCHEN UND PFLANZLICHEN URSPRUNGS: Margarine; genießbare Mischungen und Zubereitungen von tierischen oder pflanzlichen Fetten und Ölen sowie von Fraktionen verschiedener Fette und Öle dieses Kapitels, ausgenommen genießbare Fette und Öle sowie deren Fraktionen der Position 1516: Margarine, ausgenommen flüssige Margarine: mit einem Milchfettgehalt von mehr als 10 bis 15 GHT</t>
  </si>
  <si>
    <t>KAPITEL 15 - TIERISCHE, PFLANZLICHE ODER MIKROBIELLE FETTE UND ÖLE UND ERZEUGNISSE IHRER SPALTUNG; GENIESSBARE VERARBEITETE FETTE; WACHSE TIERISCHEN ODER PFLANZLICHEN URSPRUNGS: Margarine; genießbare Mischungen und Zubereitungen von tierischen, pflanzlichen oder mikrobiellen Fetten und Ölen sowie von Fraktionen verschiedener Fette und Öle dieses Kapitels, ausgenommen genießbare Fette und Öle sowie deren Fraktionen der Position 1516: Margarine, ausgenommen flüssige Margarine: andere</t>
  </si>
  <si>
    <t>KAPITEL 15 - TIERISCHE UND PFLANZLICHE FETTE UND ÖLE; ERZEUGNISSE IHRER SPALTUNG; GENIESSBARE VERARBEITETE FETTE; WACHSE TIERISCHEN UND PFLANZLICHEN URSPRUNGS: Margarine; genießbare Mischungen und Zubereitungen von tierischen oder pflanzlichen Fetten und Ölen sowie von Fraktionen verschiedener Fette und Öle dieses Kapitels, ausgenommen genießbare Fette und Öle sowie deren Fraktionen der Position 1516: Margarine, ausgenommen flüssige Margarine: andere</t>
  </si>
  <si>
    <t>KAPITEL 15 - TIERISCHE, PFLANZLICHE ODER MIKROBIELLE FETTE UND ÖLE UND ERZEUGNISSE IHRER SPALTUNG; GENIESSBARE VERARBEITETE FETTE; WACHSE TIERISCHEN ODER PFLANZLICHEN URSPRUNGS: Margarine; genießbare Mischungen und Zubereitungen von tierischen, pflanzlichen oder mikrobiellen Fetten und Ölen sowie von Fraktionen verschiedener Fette und Öle dieses Kapitels, ausgenommen genießbare Fette und Öle sowie deren Fraktionen der Position 1516: andere: mit einem Milchfettgehalt von mehr als 10 bis 15 GHT</t>
  </si>
  <si>
    <t>KAPITEL 15 - TIERISCHE UND PFLANZLICHE FETTE UND ÖLE; ERZEUGNISSE IHRER SPALTUNG; GENIESSBARE VERARBEITETE FETTE; WACHSE TIERISCHEN UND PFLANZLICHEN URSPRUNGS: Margarine; genießbare Mischungen und Zubereitungen von tierischen oder pflanzlichen Fetten und Ölen sowie von Fraktionen verschiedener Fette und Öle dieses Kapitels, ausgenommen genießbare Fette und Öle sowie deren Fraktionen der Position 1516: andere: mit einem Milchfettgehalt von mehr als 10 bis 15 GHT</t>
  </si>
  <si>
    <t>Mischungen von flüssigen, fetten pflanzlichen Ölen</t>
  </si>
  <si>
    <t>KAPITEL 15 - TIERISCHE, PFLANZLICHE ODER MIKROBIELLE FETTE UND ÖLE UND ERZEUGNISSE IHRER SPALTUNG; GENIESSBARE VERARBEITETE FETTE; WACHSE TIERISCHEN ODER PFLANZLICHEN URSPRUNGS: Margarine; genießbare Mischungen und Zubereitungen von tierischen, pflanzlichen oder mikrobiellen Fetten und Ölen sowie von Fraktionen verschiedener Fette und Öle dieses Kapitels, ausgenommen genießbare Fette und Öle sowie deren Fraktionen der Position 1516: andere: andere: Mischungen von flüssigen, fetten pflanzlichen Ölen</t>
  </si>
  <si>
    <t>KAPITEL 15 - TIERISCHE UND PFLANZLICHE FETTE UND ÖLE; ERZEUGNISSE IHRER SPALTUNG; GENIESSBARE VERARBEITETE FETTE; WACHSE TIERISCHEN UND PFLANZLICHEN URSPRUNGS: Margarine; genießbare Mischungen und Zubereitungen von tierischen oder pflanzlichen Fetten und Ölen sowie von Fraktionen verschiedener Fette und Öle dieses Kapitels, ausgenommen genießbare Fette und Öle sowie deren Fraktionen der Position 1516: andere: andere: Mischungen von flüssigen, fetten pflanzlichen Ölen</t>
  </si>
  <si>
    <t>genießbare Mischungen und Zubereitungen der als Form- und Trennöle verwendeten Art</t>
  </si>
  <si>
    <t>KAPITEL 15 - TIERISCHE, PFLANZLICHE ODER MIKROBIELLE FETTE UND ÖLE UND ERZEUGNISSE IHRER SPALTUNG; GENIESSBARE VERARBEITETE FETTE; WACHSE TIERISCHEN ODER PFLANZLICHEN URSPRUNGS: Margarine; genießbare Mischungen und Zubereitungen von tierischen, pflanzlichen oder mikrobiellen Fetten und Ölen sowie von Fraktionen verschiedener Fette und Öle dieses Kapitels, ausgenommen genießbare Fette und Öle sowie deren Fraktionen der Position 1516: andere: andere: genießbare Mischungen und Zubereitungen der als Form- und Trennöle verwendeten Art</t>
  </si>
  <si>
    <t>KAPITEL 15 - TIERISCHE UND PFLANZLICHE FETTE UND ÖLE; ERZEUGNISSE IHRER SPALTUNG; GENIESSBARE VERARBEITETE FETTE; WACHSE TIERISCHEN UND PFLANZLICHEN URSPRUNGS: Margarine; genießbare Mischungen und Zubereitungen von tierischen oder pflanzlichen Fetten und Ölen sowie von Fraktionen verschiedener Fette und Öle dieses Kapitels, ausgenommen genießbare Fette und Öle sowie deren Fraktionen der Position 1516: andere: andere: genießbare Mischungen und Zubereitungen der als Form- und Trennöle verwendeten Art</t>
  </si>
  <si>
    <t>KAPITEL 15 - TIERISCHE, PFLANZLICHE ODER MIKROBIELLE FETTE UND ÖLE UND ERZEUGNISSE IHRER SPALTUNG; GENIESSBARE VERARBEITETE FETTE; WACHSE TIERISCHEN ODER PFLANZLICHEN URSPRUNGS: Margarine; genießbare Mischungen und Zubereitungen von tierischen, pflanzlichen oder mikrobiellen Fetten und Ölen sowie von Fraktionen verschiedener Fette und Öle dieses Kapitels, ausgenommen genießbare Fette und Öle sowie deren Fraktionen der Position 1516: andere: andere: andere</t>
  </si>
  <si>
    <t>KAPITEL 15 - TIERISCHE UND PFLANZLICHE FETTE UND ÖLE; ERZEUGNISSE IHRER SPALTUNG; GENIESSBARE VERARBEITETE FETTE; WACHSE TIERISCHEN UND PFLANZLICHEN URSPRUNGS: Margarine; genießbare Mischungen und Zubereitungen von tierischen oder pflanzlichen Fetten und Ölen sowie von Fraktionen verschiedener Fette und Öle dieses Kapitels, ausgenommen genießbare Fette und Öle sowie deren Fraktionen der Position 1516: andere: andere: andere</t>
  </si>
  <si>
    <t>KAPITEL 15 - TIERISCHE, PFLANZLICHE ODER MIKROBIELLE FETTE UND ÖLE UND ERZEUGNISSE IHRER SPALTUNG; GENIESSBARE VERARBEITETE FETTE; WACHSE TIERISCHEN ODER PFLANZLICHEN URSPRUNGS: Tierische, pflanzliche oder mikrobielle Fette und Öle sowie deren Fraktionen, gekocht, oxidiert, dehydratisiert, geschwefelt, geblasen, durch Hitze im Vakuum oder in inertem Gas polymerisiert oder anders chemisch modifiziert, ausgenommen Waren der Position 1516; ungenießbare Mischungen und Zubereitungen von tierischen, pflanzlichen oder mikrobiellen Fetten und Ölen sowie von Fraktionen verschiedener Fette und Öle dieses Kapitels, anderweitig weder genannt noch inbegriffen: Linoxyn</t>
  </si>
  <si>
    <t>KAPITEL 15 - TIERISCHE UND PFLANZLICHE FETTE UND ÖLE; ERZEUGNISSE IHRER SPALTUNG; GENIESSBARE VERARBEITETE FETTE; WACHSE TIERISCHEN UND PFLANZLICHEN URSPRUNGS: Tierische und pflanzliche Fette und Öle sowie deren Fraktionen, gekocht, oxidiert, dehydratisiert, geschwefelt, geblasen, durch Hitze im Vakuum oder in inertem Gas polymerisiert oder anders chemisch modifiziert, ausgenommen Waren der Position 1516; ungenießbare Mischungen und Zubereitungen von tierischen oder pflanzlichen Fetten und Ölen sowie von Fraktionen verschiedener Fette und Öle dieses Kapitels, anderweit weder genannt noch inbegriffen: Linoxyn</t>
  </si>
  <si>
    <t>roh</t>
  </si>
  <si>
    <t>KAPITEL 15 - TIERISCHE, PFLANZLICHE ODER MIKROBIELLE FETTE UND ÖLE UND ERZEUGNISSE IHRER SPALTUNG; GENIESSBARE VERARBEITETE FETTE; WACHSE TIERISCHEN ODER PFLANZLICHEN URSPRUNGS: Tierische, pflanzliche oder mikrobielle Fette und Öle sowie deren Fraktionen, gekocht, oxidiert, dehydratisiert, geschwefelt, geblasen, durch Hitze im Vakuum oder in inertem Gas polymerisiert oder anders chemisch modifiziert, ausgenommen Waren der Position 1516; ungenießbare Mischungen und Zubereitungen von tierischen, pflanzlichen oder mikrobiellen Fetten und Ölen sowie von Fraktionen verschiedener Fette und Öle dieses Kapitels, anderweitig weder genannt noch inbegriffen: Mischungen von flüssigen, fetten pflanzlichen Ölen, zu technischen oder industriellen Zwecken, ausgenommen zum Herstellen von Lebensmitteln: roh</t>
  </si>
  <si>
    <t>KAPITEL 15 - TIERISCHE UND PFLANZLICHE FETTE UND ÖLE; ERZEUGNISSE IHRER SPALTUNG; GENIESSBARE VERARBEITETE FETTE; WACHSE TIERISCHEN UND PFLANZLICHEN URSPRUNGS: Tierische und pflanzliche Fette und Öle sowie deren Fraktionen, gekocht, oxidiert, dehydratisiert, geschwefelt, geblasen, durch Hitze im Vakuum oder in inertem Gas polymerisiert oder anders chemisch modifiziert, ausgenommen Waren der Position 1516; ungenießbare Mischungen und Zubereitungen von tierischen oder pflanzlichen Fetten und Ölen sowie von Fraktionen verschiedener Fette und Öle dieses Kapitels, anderweit weder genannt noch inbegriffen: Mischungen von flüssigen, fetten pflanzlichen Ölen, zu technischen oder industriellen Zwecken, ausgenommen zum Herstellen von Lebensmitteln: roh</t>
  </si>
  <si>
    <t>KAPITEL 15 - TIERISCHE, PFLANZLICHE ODER MIKROBIELLE FETTE UND ÖLE UND ERZEUGNISSE IHRER SPALTUNG; GENIESSBARE VERARBEITETE FETTE; WACHSE TIERISCHEN ODER PFLANZLICHEN URSPRUNGS: Tierische, pflanzliche oder mikrobielle Fette und Öle sowie deren Fraktionen, gekocht, oxidiert, dehydratisiert, geschwefelt, geblasen, durch Hitze im Vakuum oder in inertem Gas polymerisiert oder anders chemisch modifiziert, ausgenommen Waren der Position 1516; ungenießbare Mischungen und Zubereitungen von tierischen, pflanzlichen oder mikrobiellen Fetten und Ölen sowie von Fraktionen verschiedener Fette und Öle dieses Kapitels, anderweitig weder genannt noch inbegriffen: Mischungen von flüssigen, fetten pflanzlichen Ölen, zu technischen oder industriellen Zwecken, ausgenommen zum Herstellen von Lebensmitteln: andere</t>
  </si>
  <si>
    <t>KAPITEL 15 - TIERISCHE UND PFLANZLICHE FETTE UND ÖLE; ERZEUGNISSE IHRER SPALTUNG; GENIESSBARE VERARBEITETE FETTE; WACHSE TIERISCHEN UND PFLANZLICHEN URSPRUNGS: Tierische und pflanzliche Fette und Öle sowie deren Fraktionen, gekocht, oxidiert, dehydratisiert, geschwefelt, geblasen, durch Hitze im Vakuum oder in inertem Gas polymerisiert oder anders chemisch modifiziert, ausgenommen Waren der Position 1516; ungenießbare Mischungen und Zubereitungen von tierischen oder pflanzlichen Fetten und Ölen sowie von Fraktionen verschiedener Fette und Öle dieses Kapitels, anderweit weder genannt noch inbegriffen: Mischungen von flüssigen, fetten pflanzlichen Ölen, zu technischen oder industriellen Zwecken, ausgenommen zum Herstellen von Lebensmitteln: andere</t>
  </si>
  <si>
    <t>tierische, pflanzliche oder mikrobielle Fette und Öle sowie deren Fraktionen, gekocht, oxidiert, dehydratisiert, geschwefelt, geblasen, durch Hitze im Vakuum oder in inertem Gas polymerisiert oder anders chemisch modifiziert, ausgenommen Waren der Position 1516</t>
  </si>
  <si>
    <t>tierische und pflanzliche Fette und Öle sowie deren Fraktionen, gekocht, oxidiert, dehydratisiert, geschwefelt, geblasen, durch Hitze im Vakuum oder in inertem Gas polymerisiert oder anders chemisch modifiziert, ausgenommen Waren der Position 1516</t>
  </si>
  <si>
    <t>KAPITEL 15 - TIERISCHE, PFLANZLICHE ODER MIKROBIELLE FETTE UND ÖLE UND ERZEUGNISSE IHRER SPALTUNG; GENIESSBARE VERARBEITETE FETTE; WACHSE TIERISCHEN ODER PFLANZLICHEN URSPRUNGS: Tierische, pflanzliche oder mikrobielle Fette und Öle sowie deren Fraktionen, gekocht, oxidiert, dehydratisiert, geschwefelt, geblasen, durch Hitze im Vakuum oder in inertem Gas polymerisiert oder anders chemisch modifiziert, ausgenommen Waren der Position 1516; ungenießbare Mischungen und Zubereitungen von tierischen, pflanzlichen oder mikrobiellen Fetten und Ölen sowie von Fraktionen verschiedener Fette und Öle dieses Kapitels, anderweitig weder genannt noch inbegriffen: andere: tierische, pflanzliche oder mikrobielle Fette und Öle sowie deren Fraktionen, gekocht, oxidiert, dehydratisiert, geschwefelt, geblasen, durch Hitze im Vakuum oder in inertem Gas polymerisiert oder anders chemisch modifiziert, ausgenommen Waren der Position 1516</t>
  </si>
  <si>
    <t>KAPITEL 15 - TIERISCHE UND PFLANZLICHE FETTE UND ÖLE; ERZEUGNISSE IHRER SPALTUNG; GENIESSBARE VERARBEITETE FETTE; WACHSE TIERISCHEN UND PFLANZLICHEN URSPRUNGS: Tierische und pflanzliche Fette und Öle sowie deren Fraktionen, gekocht, oxidiert, dehydratisiert, geschwefelt, geblasen, durch Hitze im Vakuum oder in inertem Gas polymerisiert oder anders chemisch modifiziert, ausgenommen Waren der Position 1516; ungenießbare Mischungen und Zubereitungen von tierischen oder pflanzlichen Fetten und Ölen sowie von Fraktionen verschiedener Fette und Öle dieses Kapitels, anderweit weder genannt noch inbegriffen: andere: tierische und pflanzliche Fette und Öle sowie deren Fraktionen, gekocht, oxidiert, dehydratisiert, geschwefelt, geblasen, durch Hitze im Vakuum oder in inertem Gas polymerisiert oder anders chemisch modifiziert, ausgenommen Waren der Position 1516</t>
  </si>
  <si>
    <t>ungenießbare Mischungen und Zubereitungen von tierischen Fetten und Ölen oder von tierischen, pflanzlichen oder mikrobiellen Fetten und Ölen sowie deren Fraktionen</t>
  </si>
  <si>
    <t>ungenießbare Mischungen und Zubereitungen von tierischen Fetten und Ölen oder von tierischen und pflanzlichen Fetten und Ölen sowie deren Fraktionen</t>
  </si>
  <si>
    <t>KAPITEL 15 - TIERISCHE, PFLANZLICHE ODER MIKROBIELLE FETTE UND ÖLE UND ERZEUGNISSE IHRER SPALTUNG; GENIESSBARE VERARBEITETE FETTE; WACHSE TIERISCHEN ODER PFLANZLICHEN URSPRUNGS: Tierische, pflanzliche oder mikrobielle Fette und Öle sowie deren Fraktionen, gekocht, oxidiert, dehydratisiert, geschwefelt, geblasen, durch Hitze im Vakuum oder in inertem Gas polymerisiert oder anders chemisch modifiziert, ausgenommen Waren der Position 1516; ungenießbare Mischungen und Zubereitungen von tierischen, pflanzlichen oder mikrobiellen Fetten und Ölen sowie von Fraktionen verschiedener Fette und Öle dieses Kapitels, anderweitig weder genannt noch inbegriffen: andere: andere: ungenießbare Mischungen und Zubereitungen von tierischen Fetten und Ölen oder von tierischen, pflanzlichen oder mikrobiellen Fetten und Ölen sowie deren Fraktionen</t>
  </si>
  <si>
    <t>KAPITEL 15 - TIERISCHE UND PFLANZLICHE FETTE UND ÖLE; ERZEUGNISSE IHRER SPALTUNG; GENIESSBARE VERARBEITETE FETTE; WACHSE TIERISCHEN UND PFLANZLICHEN URSPRUNGS: Tierische und pflanzliche Fette und Öle sowie deren Fraktionen, gekocht, oxidiert, dehydratisiert, geschwefelt, geblasen, durch Hitze im Vakuum oder in inertem Gas polymerisiert oder anders chemisch modifiziert, ausgenommen Waren der Position 1516; ungenießbare Mischungen und Zubereitungen von tierischen oder pflanzlichen Fetten und Ölen sowie von Fraktionen verschiedener Fette und Öle dieses Kapitels, anderweit weder genannt noch inbegriffen: andere: andere: ungenießbare Mischungen und Zubereitungen von tierischen Fetten und Ölen oder von tierischen und pflanzlichen Fetten und Ölen sowie deren Fraktionen</t>
  </si>
  <si>
    <t>KAPITEL 15 - TIERISCHE, PFLANZLICHE ODER MIKROBIELLE FETTE UND ÖLE UND ERZEUGNISSE IHRER SPALTUNG; GENIESSBARE VERARBEITETE FETTE; WACHSE TIERISCHEN ODER PFLANZLICHEN URSPRUNGS: Tierische, pflanzliche oder mikrobielle Fette und Öle sowie deren Fraktionen, gekocht, oxidiert, dehydratisiert, geschwefelt, geblasen, durch Hitze im Vakuum oder in inertem Gas polymerisiert oder anders chemisch modifiziert, ausgenommen Waren der Position 1516; ungenießbare Mischungen und Zubereitungen von tierischen, pflanzlichen oder mikrobiellen Fetten und Ölen sowie von Fraktionen verschiedener Fette und Öle dieses Kapitels, anderweitig weder genannt noch inbegriffen: andere: andere: andere</t>
  </si>
  <si>
    <t>KAPITEL 15 - TIERISCHE UND PFLANZLICHE FETTE UND ÖLE; ERZEUGNISSE IHRER SPALTUNG; GENIESSBARE VERARBEITETE FETTE; WACHSE TIERISCHEN UND PFLANZLICHEN URSPRUNGS: Tierische und pflanzliche Fette und Öle sowie deren Fraktionen, gekocht, oxidiert, dehydratisiert, geschwefelt, geblasen, durch Hitze im Vakuum oder in inertem Gas polymerisiert oder anders chemisch modifiziert, ausgenommen Waren der Position 1516; ungenießbare Mischungen und Zubereitungen von tierischen oder pflanzlichen Fetten und Ölen sowie von Fraktionen verschiedener Fette und Öle dieses Kapitels, anderweit weder genannt noch inbegriffen: andere: andere: andere</t>
  </si>
  <si>
    <t>Glycerin, roh; Glycerinwasser und Glycerinunterlaugen</t>
  </si>
  <si>
    <t>KAPITEL 15 - TIERISCHE, PFLANZLICHE ODER MIKROBIELLE FETTE UND ÖLE UND ERZEUGNISSE IHRER SPALTUNG; GENIESSBARE VERARBEITETE FETTE; WACHSE TIERISCHEN ODER PFLANZLICHEN URSPRUNGS: Glycerin, roh; Glycerinwasser und Glycerinunterlaugen</t>
  </si>
  <si>
    <t>KAPITEL 15 - TIERISCHE UND PFLANZLICHE FETTE UND ÖLE; ERZEUGNISSE IHRER SPALTUNG; GENIESSBARE VERARBEITETE FETTE; WACHSE TIERISCHEN UND PFLANZLICHEN URSPRUNGS: Glycerin, roh; Glycerinwasser und Glycerinunterlaugen</t>
  </si>
  <si>
    <t>Pflanzenwachse</t>
  </si>
  <si>
    <t>KAPITEL 15 - TIERISCHE, PFLANZLICHE ODER MIKROBIELLE FETTE UND ÖLE UND ERZEUGNISSE IHRER SPALTUNG; GENIESSBARE VERARBEITETE FETTE; WACHSE TIERISCHEN ODER PFLANZLICHEN URSPRUNGS: Pflanzenwachse (ausgenommen Triglyceride), Bienenwachs, andere Insektenwachse und Walrat, auch raffiniert oder gefärbt: Pflanzenwachse</t>
  </si>
  <si>
    <t>KAPITEL 15 - TIERISCHE UND PFLANZLICHE FETTE UND ÖLE; ERZEUGNISSE IHRER SPALTUNG; GENIESSBARE VERARBEITETE FETTE; WACHSE TIERISCHEN UND PFLANZLICHEN URSPRUNGS: Pflanzenwachse (ausgenommen Triglyceride), Bienenwachs, andere Insektenwachse und Walrat, auch raffiniert oder gefärbt: Pflanzenwachse</t>
  </si>
  <si>
    <t>Walrat, auch raffiniert oder gefärbt</t>
  </si>
  <si>
    <t>KAPITEL 15 - TIERISCHE, PFLANZLICHE ODER MIKROBIELLE FETTE UND ÖLE UND ERZEUGNISSE IHRER SPALTUNG; GENIESSBARE VERARBEITETE FETTE; WACHSE TIERISCHEN ODER PFLANZLICHEN URSPRUNGS: Pflanzenwachse (ausgenommen Triglyceride), Bienenwachs, andere Insektenwachse und Walrat, auch raffiniert oder gefärbt: andere: Walrat, auch raffiniert oder gefärbt</t>
  </si>
  <si>
    <t>KAPITEL 15 - TIERISCHE UND PFLANZLICHE FETTE UND ÖLE; ERZEUGNISSE IHRER SPALTUNG; GENIESSBARE VERARBEITETE FETTE; WACHSE TIERISCHEN UND PFLANZLICHEN URSPRUNGS: Pflanzenwachse (ausgenommen Triglyceride), Bienenwachs, andere Insektenwachse und Walrat, auch raffiniert oder gefärbt: andere: Walrat, auch raffiniert oder gefärbt</t>
  </si>
  <si>
    <t>KAPITEL 15 - TIERISCHE, PFLANZLICHE ODER MIKROBIELLE FETTE UND ÖLE UND ERZEUGNISSE IHRER SPALTUNG; GENIESSBARE VERARBEITETE FETTE; WACHSE TIERISCHEN ODER PFLANZLICHEN URSPRUNGS: Pflanzenwachse (ausgenommen Triglyceride), Bienenwachs, andere Insektenwachse und Walrat, auch raffiniert oder gefärbt: andere: Bienenwachs und andere Insektenwachse, auch raffiniert oder gefärbt: roh</t>
  </si>
  <si>
    <t>KAPITEL 15 - TIERISCHE UND PFLANZLICHE FETTE UND ÖLE; ERZEUGNISSE IHRER SPALTUNG; GENIESSBARE VERARBEITETE FETTE; WACHSE TIERISCHEN UND PFLANZLICHEN URSPRUNGS: Pflanzenwachse (ausgenommen Triglyceride), Bienenwachs, andere Insektenwachse und Walrat, auch raffiniert oder gefärbt: andere: Bienenwachs und andere Insektenwachse, auch raffiniert oder gefärbt: roh</t>
  </si>
  <si>
    <t>KAPITEL 15 - TIERISCHE, PFLANZLICHE ODER MIKROBIELLE FETTE UND ÖLE UND ERZEUGNISSE IHRER SPALTUNG; GENIESSBARE VERARBEITETE FETTE; WACHSE TIERISCHEN ODER PFLANZLICHEN URSPRUNGS: Pflanzenwachse (ausgenommen Triglyceride), Bienenwachs, andere Insektenwachse und Walrat, auch raffiniert oder gefärbt: andere: Bienenwachs und andere Insektenwachse, auch raffiniert oder gefärbt: andere</t>
  </si>
  <si>
    <t>KAPITEL 15 - TIERISCHE UND PFLANZLICHE FETTE UND ÖLE; ERZEUGNISSE IHRER SPALTUNG; GENIESSBARE VERARBEITETE FETTE; WACHSE TIERISCHEN UND PFLANZLICHEN URSPRUNGS: Pflanzenwachse (ausgenommen Triglyceride), Bienenwachs, andere Insektenwachse und Walrat, auch raffiniert oder gefärbt: andere: Bienenwachs und andere Insektenwachse, auch raffiniert oder gefärbt: andere</t>
  </si>
  <si>
    <t>KAPITEL 15 - TIERISCHE, PFLANZLICHE ODER MIKROBIELLE FETTE UND ÖLE UND ERZEUGNISSE IHRER SPALTUNG; GENIESSBARE VERARBEITETE FETTE; WACHSE TIERISCHEN ODER PFLANZLICHEN URSPRUNGS: Degras; Rückstände aus der Verarbeitung von Fettstoffen oder von tierischen oder pflanzlichen Wachsen: Degras</t>
  </si>
  <si>
    <t>KAPITEL 15 - TIERISCHE UND PFLANZLICHE FETTE UND ÖLE; ERZEUGNISSE IHRER SPALTUNG; GENIESSBARE VERARBEITETE FETTE; WACHSE TIERISCHEN UND PFLANZLICHEN URSPRUNGS: Degras; Rückstände aus der Verarbeitung von Fettstoffen oder von tierischen oder pflanzlichen Wachsen: Degras</t>
  </si>
  <si>
    <t>Soapstock</t>
  </si>
  <si>
    <t>KAPITEL 15 - TIERISCHE, PFLANZLICHE ODER MIKROBIELLE FETTE UND ÖLE UND ERZEUGNISSE IHRER SPALTUNG; GENIESSBARE VERARBEITETE FETTE; WACHSE TIERISCHEN ODER PFLANZLICHEN URSPRUNGS: Degras; Rückstände aus der Verarbeitung von Fettstoffen oder von tierischen oder pflanzlichen Wachsen: Rückstände aus der Verarbeitung von Fettstoffen oder von tierischen oder pflanzlichen Wachsen: Öl enthaltend, das die Merkmale von Olivenöl aufweist: Soapstock</t>
  </si>
  <si>
    <t>KAPITEL 15 - TIERISCHE UND PFLANZLICHE FETTE UND ÖLE; ERZEUGNISSE IHRER SPALTUNG; GENIESSBARE VERARBEITETE FETTE; WACHSE TIERISCHEN UND PFLANZLICHEN URSPRUNGS: Degras; Rückstände aus der Verarbeitung von Fettstoffen oder von tierischen oder pflanzlichen Wachsen: Rückstände aus der Verarbeitung von Fettstoffen oder von tierischen oder pflanzlichen Wachsen: Öl enthaltend, das die Merkmale von Olivenöl aufweist: Soapstock</t>
  </si>
  <si>
    <t>KAPITEL 15 - TIERISCHE, PFLANZLICHE ODER MIKROBIELLE FETTE UND ÖLE UND ERZEUGNISSE IHRER SPALTUNG; GENIESSBARE VERARBEITETE FETTE; WACHSE TIERISCHEN ODER PFLANZLICHEN URSPRUNGS: Degras; Rückstände aus der Verarbeitung von Fettstoffen oder von tierischen oder pflanzlichen Wachsen: Rückstände aus der Verarbeitung von Fettstoffen oder von tierischen oder pflanzlichen Wachsen: Öl enthaltend, das die Merkmale von Olivenöl aufweist: andere</t>
  </si>
  <si>
    <t>KAPITEL 15 - TIERISCHE UND PFLANZLICHE FETTE UND ÖLE; ERZEUGNISSE IHRER SPALTUNG; GENIESSBARE VERARBEITETE FETTE; WACHSE TIERISCHEN UND PFLANZLICHEN URSPRUNGS: Degras; Rückstände aus der Verarbeitung von Fettstoffen oder von tierischen oder pflanzlichen Wachsen: Rückstände aus der Verarbeitung von Fettstoffen oder von tierischen oder pflanzlichen Wachsen: Öl enthaltend, das die Merkmale von Olivenöl aufweist: andere</t>
  </si>
  <si>
    <t>Öldrass und Soapstock</t>
  </si>
  <si>
    <t>KAPITEL 15 - TIERISCHE, PFLANZLICHE ODER MIKROBIELLE FETTE UND ÖLE UND ERZEUGNISSE IHRER SPALTUNG; GENIESSBARE VERARBEITETE FETTE; WACHSE TIERISCHEN ODER PFLANZLICHEN URSPRUNGS: Degras; Rückstände aus der Verarbeitung von Fettstoffen oder von tierischen oder pflanzlichen Wachsen: Rückstände aus der Verarbeitung von Fettstoffen oder von tierischen oder pflanzlichen Wachsen: andere: Öldrass und Soapstock</t>
  </si>
  <si>
    <t>KAPITEL 15 - TIERISCHE UND PFLANZLICHE FETTE UND ÖLE; ERZEUGNISSE IHRER SPALTUNG; GENIESSBARE VERARBEITETE FETTE; WACHSE TIERISCHEN UND PFLANZLICHEN URSPRUNGS: Degras; Rückstände aus der Verarbeitung von Fettstoffen oder von tierischen oder pflanzlichen Wachsen: Rückstände aus der Verarbeitung von Fettstoffen oder von tierischen oder pflanzlichen Wachsen: andere: Öldrass und Soapstock</t>
  </si>
  <si>
    <t>KAPITEL 15 - TIERISCHE, PFLANZLICHE ODER MIKROBIELLE FETTE UND ÖLE UND ERZEUGNISSE IHRER SPALTUNG; GENIESSBARE VERARBEITETE FETTE; WACHSE TIERISCHEN ODER PFLANZLICHEN URSPRUNGS: Degras; Rückstände aus der Verarbeitung von Fettstoffen oder von tierischen oder pflanzlichen Wachsen: Rückstände aus der Verarbeitung von Fettstoffen oder von tierischen oder pflanzlichen Wachsen: andere: andere</t>
  </si>
  <si>
    <t>KAPITEL 15 - TIERISCHE UND PFLANZLICHE FETTE UND ÖLE; ERZEUGNISSE IHRER SPALTUNG; GENIESSBARE VERARBEITETE FETTE; WACHSE TIERISCHEN UND PFLANZLICHEN URSPRUNGS: Degras; Rückstände aus der Verarbeitung von Fettstoffen oder von tierischen oder pflanzlichen Wachsen: Rückstände aus der Verarbeitung von Fettstoffen oder von tierischen oder pflanzlichen Wachsen: andere: andere</t>
  </si>
  <si>
    <t>aus Lebern</t>
  </si>
  <si>
    <t>KAPITEL 16 - ZUBEREITUNGEN VON FLEISCH, FISCHEN, KREBSTIEREN, WEICHTIEREN, ANDEREN WIRBELLOSEN WASSERTIEREN ODER VON INSEKTEN: Würste und ähnliche Erzeugnisse, aus Fleisch, Schlachtnebenerzeugnissen, Blut oder Insekten; Lebensmittelzubereitungen auf der Grundlage dieser Erzeugnisse: aus Lebern</t>
  </si>
  <si>
    <t>KAPITEL 16 - ZUBEREITUNGEN VON FLEISCH, FISCHEN ODER VON KREBSTIEREN, WEICHTIEREN UND ANDEREN WIRBELLOSEN WASSERTIEREN: Würste und ähnliche Erzeugnisse, aus Fleisch, Schlachtnebenerzeugnissen oder Blut; Lebensmittelzubereitungen auf der Grundlage dieser Erzeugnisse: aus Lebern</t>
  </si>
  <si>
    <t>Rohwürste, getrocknet oder streichfähig</t>
  </si>
  <si>
    <t>KAPITEL 16 - ZUBEREITUNGEN VON FLEISCH, FISCHEN, KREBSTIEREN, WEICHTIEREN, ANDEREN WIRBELLOSEN WASSERTIEREN ODER VON INSEKTEN: Würste und ähnliche Erzeugnisse, aus Fleisch, Schlachtnebenerzeugnissen, Blut oder Insekten; Lebensmittelzubereitungen auf der Grundlage dieser Erzeugnisse: andere: Rohwürste, getrocknet oder streichfähig</t>
  </si>
  <si>
    <t>KAPITEL 16 - ZUBEREITUNGEN VON FLEISCH, FISCHEN ODER VON KREBSTIEREN, WEICHTIEREN UND ANDEREN WIRBELLOSEN WASSERTIEREN: Würste und ähnliche Erzeugnisse, aus Fleisch, Schlachtnebenerzeugnissen oder Blut; Lebensmittelzubereitungen auf der Grundlage dieser Erzeugnisse: andere: Rohwürste, getrocknet oder streichfähig</t>
  </si>
  <si>
    <t>KAPITEL 16 - ZUBEREITUNGEN VON FLEISCH, FISCHEN, KREBSTIEREN, WEICHTIEREN, ANDEREN WIRBELLOSEN WASSERTIEREN ODER VON INSEKTEN: Würste und ähnliche Erzeugnisse, aus Fleisch, Schlachtnebenerzeugnissen, Blut oder Insekten; Lebensmittelzubereitungen auf der Grundlage dieser Erzeugnisse: andere: andere</t>
  </si>
  <si>
    <t>KAPITEL 16 - ZUBEREITUNGEN VON FLEISCH, FISCHEN ODER VON KREBSTIEREN, WEICHTIEREN UND ANDEREN WIRBELLOSEN WASSERTIEREN: Würste und ähnliche Erzeugnisse, aus Fleisch, Schlachtnebenerzeugnissen oder Blut; Lebensmittelzubereitungen auf der Grundlage dieser Erzeugnisse: andere: andere</t>
  </si>
  <si>
    <t>homogenisierte Zubereitungen</t>
  </si>
  <si>
    <t>KAPITEL 16 - ZUBEREITUNGEN VON FLEISCH, FISCHEN, KREBSTIEREN, WEICHTIEREN, ANDEREN WIRBELLOSEN WASSERTIEREN ODER VON INSEKTEN: Fleisch, Schlachtnebenerzeugnisse, Blut oder Insekten, anders zubereitet oder haltbar gemacht: homogenisierte Zubereitungen</t>
  </si>
  <si>
    <t>KAPITEL 16 - ZUBEREITUNGEN VON FLEISCH, FISCHEN ODER VON KREBSTIEREN, WEICHTIEREN UND ANDEREN WIRBELLOSEN WASSERTIEREN: Fleisch, Schlachtnebenerzeugnisse oder Blut, anders zubereitet oder haltbar gemacht: homogenisierte Zubereitungen</t>
  </si>
  <si>
    <t>von Gänsen oder Enten</t>
  </si>
  <si>
    <t>KAPITEL 16 - ZUBEREITUNGEN VON FLEISCH, FISCHEN, KREBSTIEREN, WEICHTIEREN, ANDEREN WIRBELLOSEN WASSERTIEREN ODER VON INSEKTEN: Fleisch, Schlachtnebenerzeugnisse, Blut oder Insekten, anders zubereitet oder haltbar gemacht: aus Lebern aller Tierarten: von Gänsen oder Enten</t>
  </si>
  <si>
    <t>KAPITEL 16 - ZUBEREITUNGEN VON FLEISCH, FISCHEN ODER VON KREBSTIEREN, WEICHTIEREN UND ANDEREN WIRBELLOSEN WASSERTIEREN: Fleisch, Schlachtnebenerzeugnisse oder Blut, anders zubereitet oder haltbar gemacht: aus Lebern aller Tierarten: von Gänsen oder Enten</t>
  </si>
  <si>
    <t>KAPITEL 16 - ZUBEREITUNGEN VON FLEISCH, FISCHEN, KREBSTIEREN, WEICHTIEREN, ANDEREN WIRBELLOSEN WASSERTIEREN ODER VON INSEKTEN: Fleisch, Schlachtnebenerzeugnisse, Blut oder Insekten, anders zubereitet oder haltbar gemacht: aus Lebern aller Tierarten: andere</t>
  </si>
  <si>
    <t>KAPITEL 16 - ZUBEREITUNGEN VON FLEISCH, FISCHEN ODER VON KREBSTIEREN, WEICHTIEREN UND ANDEREN WIRBELLOSEN WASSERTIEREN: Fleisch, Schlachtnebenerzeugnisse oder Blut, anders zubereitet oder haltbar gemacht: aus Lebern aller Tierarten: andere</t>
  </si>
  <si>
    <t>ausschließlich nicht gegartes Fleisch von Truthühnern enthaltend</t>
  </si>
  <si>
    <t>KAPITEL 16 - ZUBEREITUNGEN VON FLEISCH, FISCHEN, KREBSTIEREN, WEICHTIEREN, ANDEREN WIRBELLOSEN WASSERTIEREN ODER VON INSEKTEN: Fleisch, Schlachtnebenerzeugnisse, Blut oder Insekten, anders zubereitet oder haltbar gemacht: von Geflügel der Position 0105: von Truthühnern: mit einem Anteil an Fleisch oder Schlachtnebenerzeugnissen von Geflügel von 57 GHT oder mehr: ausschließlich nicht gegartes Fleisch von Truthühnern enthaltend</t>
  </si>
  <si>
    <t>KAPITEL 16 - ZUBEREITUNGEN VON FLEISCH, FISCHEN ODER VON KREBSTIEREN, WEICHTIEREN UND ANDEREN WIRBELLOSEN WASSERTIEREN: Fleisch, Schlachtnebenerzeugnisse oder Blut, anders zubereitet oder haltbar gemacht: von Geflügel der Position 0105: von Truthühnern: mit einem Anteil an Fleisch oder Schlachtnebenerzeugnissen von Geflügel von 57 GHT oder mehr: ausschließlich nicht gegartes Fleisch von Truthühnern enthaltend</t>
  </si>
  <si>
    <t>KAPITEL 16 - ZUBEREITUNGEN VON FLEISCH, FISCHEN, KREBSTIEREN, WEICHTIEREN, ANDEREN WIRBELLOSEN WASSERTIEREN ODER VON INSEKTEN: Fleisch, Schlachtnebenerzeugnisse, Blut oder Insekten, anders zubereitet oder haltbar gemacht: von Geflügel der Position 0105: von Truthühnern: mit einem Anteil an Fleisch oder Schlachtnebenerzeugnissen von Geflügel von 57 GHT oder mehr: andere</t>
  </si>
  <si>
    <t>KAPITEL 16 - ZUBEREITUNGEN VON FLEISCH, FISCHEN ODER VON KREBSTIEREN, WEICHTIEREN UND ANDEREN WIRBELLOSEN WASSERTIEREN: Fleisch, Schlachtnebenerzeugnisse oder Blut, anders zubereitet oder haltbar gemacht: von Geflügel der Position 0105: von Truthühnern: mit einem Anteil an Fleisch oder Schlachtnebenerzeugnissen von Geflügel von 57 GHT oder mehr: andere</t>
  </si>
  <si>
    <t>KAPITEL 16 - ZUBEREITUNGEN VON FLEISCH, FISCHEN, KREBSTIEREN, WEICHTIEREN, ANDEREN WIRBELLOSEN WASSERTIEREN ODER VON INSEKTEN: Fleisch, Schlachtnebenerzeugnisse, Blut oder Insekten, anders zubereitet oder haltbar gemacht: von Geflügel der Position 0105: von Truthühnern: andere</t>
  </si>
  <si>
    <t>KAPITEL 16 - ZUBEREITUNGEN VON FLEISCH, FISCHEN ODER VON KREBSTIEREN, WEICHTIEREN UND ANDEREN WIRBELLOSEN WASSERTIEREN: Fleisch, Schlachtnebenerzeugnisse oder Blut, anders zubereitet oder haltbar gemacht: von Geflügel der Position 0105: von Truthühnern: andere</t>
  </si>
  <si>
    <t>nicht gegart</t>
  </si>
  <si>
    <t>KAPITEL 16 - ZUBEREITUNGEN VON FLEISCH, FISCHEN, KREBSTIEREN, WEICHTIEREN, ANDEREN WIRBELLOSEN WASSERTIEREN ODER VON INSEKTEN: Fleisch, Schlachtnebenerzeugnisse, Blut oder Insekten, anders zubereitet oder haltbar gemacht: von Geflügel der Position 0105: von Hühnern: mit einem Anteil an Fleisch oder Schlachtnebenerzeugnissen von Geflügel von 57 GHT oder mehr: nicht gegart</t>
  </si>
  <si>
    <t>KAPITEL 16 - ZUBEREITUNGEN VON FLEISCH, FISCHEN ODER VON KREBSTIEREN, WEICHTIEREN UND ANDEREN WIRBELLOSEN WASSERTIEREN: Fleisch, Schlachtnebenerzeugnisse oder Blut, anders zubereitet oder haltbar gemacht: von Geflügel der Position 0105: von Hühnern: mit einem Anteil an Fleisch oder Schlachtnebenerzeugnissen von Geflügel von 57 GHT oder mehr: nicht gegart</t>
  </si>
  <si>
    <t>KAPITEL 16 - ZUBEREITUNGEN VON FLEISCH, FISCHEN, KREBSTIEREN, WEICHTIEREN, ANDEREN WIRBELLOSEN WASSERTIEREN ODER VON INSEKTEN: Fleisch, Schlachtnebenerzeugnisse, Blut oder Insekten, anders zubereitet oder haltbar gemacht: von Geflügel der Position 0105: von Hühnern: mit einem Anteil an Fleisch oder Schlachtnebenerzeugnissen von Geflügel von 57 GHT oder mehr: andere</t>
  </si>
  <si>
    <t>KAPITEL 16 - ZUBEREITUNGEN VON FLEISCH, FISCHEN ODER VON KREBSTIEREN, WEICHTIEREN UND ANDEREN WIRBELLOSEN WASSERTIEREN: Fleisch, Schlachtnebenerzeugnisse oder Blut, anders zubereitet oder haltbar gemacht: von Geflügel der Position 0105: von Hühnern: mit einem Anteil an Fleisch oder Schlachtnebenerzeugnissen von Geflügel von 57 GHT oder mehr: andere</t>
  </si>
  <si>
    <t>mit einem Anteil an Fleisch oder Schlachtnebenerzeugnissen von Geflügel von 25 GHT oder mehr, jedoch weniger als 57 GHT</t>
  </si>
  <si>
    <t>KAPITEL 16 - ZUBEREITUNGEN VON FLEISCH, FISCHEN, KREBSTIEREN, WEICHTIEREN, ANDEREN WIRBELLOSEN WASSERTIEREN ODER VON INSEKTEN: Fleisch, Schlachtnebenerzeugnisse, Blut oder Insekten, anders zubereitet oder haltbar gemacht: von Geflügel der Position 0105: von Hühnern: mit einem Anteil an Fleisch oder Schlachtnebenerzeugnissen von Geflügel von 25 GHT oder mehr, jedoch weniger als 57 GHT</t>
  </si>
  <si>
    <t>KAPITEL 16 - ZUBEREITUNGEN VON FLEISCH, FISCHEN ODER VON KREBSTIEREN, WEICHTIEREN UND ANDEREN WIRBELLOSEN WASSERTIEREN: Fleisch, Schlachtnebenerzeugnisse oder Blut, anders zubereitet oder haltbar gemacht: von Geflügel der Position 0105: von Hühnern: mit einem Anteil an Fleisch oder Schlachtnebenerzeugnissen von Geflügel von 25 GHT oder mehr, jedoch weniger als 57 GHT</t>
  </si>
  <si>
    <t>KAPITEL 16 - ZUBEREITUNGEN VON FLEISCH, FISCHEN, KREBSTIEREN, WEICHTIEREN, ANDEREN WIRBELLOSEN WASSERTIEREN ODER VON INSEKTEN: Fleisch, Schlachtnebenerzeugnisse, Blut oder Insekten, anders zubereitet oder haltbar gemacht: von Geflügel der Position 0105: von Hühnern: andere</t>
  </si>
  <si>
    <t>KAPITEL 16 - ZUBEREITUNGEN VON FLEISCH, FISCHEN ODER VON KREBSTIEREN, WEICHTIEREN UND ANDEREN WIRBELLOSEN WASSERTIEREN: Fleisch, Schlachtnebenerzeugnisse oder Blut, anders zubereitet oder haltbar gemacht: von Geflügel der Position 0105: von Hühnern: andere</t>
  </si>
  <si>
    <t>KAPITEL 16 - ZUBEREITUNGEN VON FLEISCH, FISCHEN, KREBSTIEREN, WEICHTIEREN, ANDEREN WIRBELLOSEN WASSERTIEREN ODER VON INSEKTEN: Fleisch, Schlachtnebenerzeugnisse, Blut oder Insekten, anders zubereitet oder haltbar gemacht: von Geflügel der Position 0105: andere: mit einem Anteil an Fleisch oder Schlachtnebenerzeugnissen von Geflügel von 57 GHT oder mehr: nicht gegart</t>
  </si>
  <si>
    <t>KAPITEL 16 - ZUBEREITUNGEN VON FLEISCH, FISCHEN ODER VON KREBSTIEREN, WEICHTIEREN UND ANDEREN WIRBELLOSEN WASSERTIEREN: Fleisch, Schlachtnebenerzeugnisse oder Blut, anders zubereitet oder haltbar gemacht: von Geflügel der Position 0105: andere: mit einem Anteil an Fleisch oder Schlachtnebenerzeugnissen von Geflügel von 57 GHT oder mehr: nicht gegart</t>
  </si>
  <si>
    <t>KAPITEL 16 - ZUBEREITUNGEN VON FLEISCH, FISCHEN, KREBSTIEREN, WEICHTIEREN, ANDEREN WIRBELLOSEN WASSERTIEREN ODER VON INSEKTEN: Fleisch, Schlachtnebenerzeugnisse, Blut oder Insekten, anders zubereitet oder haltbar gemacht: von Geflügel der Position 0105: andere: mit einem Anteil an Fleisch oder Schlachtnebenerzeugnissen von Geflügel von 57 GHT oder mehr: andere</t>
  </si>
  <si>
    <t>KAPITEL 16 - ZUBEREITUNGEN VON FLEISCH, FISCHEN ODER VON KREBSTIEREN, WEICHTIEREN UND ANDEREN WIRBELLOSEN WASSERTIEREN: Fleisch, Schlachtnebenerzeugnisse oder Blut, anders zubereitet oder haltbar gemacht: von Geflügel der Position 0105: andere: mit einem Anteil an Fleisch oder Schlachtnebenerzeugnissen von Geflügel von 57 GHT oder mehr: andere</t>
  </si>
  <si>
    <t>KAPITEL 16 - ZUBEREITUNGEN VON FLEISCH, FISCHEN, KREBSTIEREN, WEICHTIEREN, ANDEREN WIRBELLOSEN WASSERTIEREN ODER VON INSEKTEN: Fleisch, Schlachtnebenerzeugnisse, Blut oder Insekten, anders zubereitet oder haltbar gemacht: von Geflügel der Position 0105: andere: andere</t>
  </si>
  <si>
    <t>KAPITEL 16 - ZUBEREITUNGEN VON FLEISCH, FISCHEN ODER VON KREBSTIEREN, WEICHTIEREN UND ANDEREN WIRBELLOSEN WASSERTIEREN: Fleisch, Schlachtnebenerzeugnisse oder Blut, anders zubereitet oder haltbar gemacht: von Geflügel der Position 0105: andere: andere</t>
  </si>
  <si>
    <t>von Hausschweinen</t>
  </si>
  <si>
    <t>KAPITEL 16 - ZUBEREITUNGEN VON FLEISCH, FISCHEN, KREBSTIEREN, WEICHTIEREN, ANDEREN WIRBELLOSEN WASSERTIEREN ODER VON INSEKTEN: Fleisch, Schlachtnebenerzeugnisse, Blut oder Insekten, anders zubereitet oder haltbar gemacht: von Schweinen: Schinken und Teile davon: von Hausschweinen</t>
  </si>
  <si>
    <t>KAPITEL 16 - ZUBEREITUNGEN VON FLEISCH, FISCHEN ODER VON KREBSTIEREN, WEICHTIEREN UND ANDEREN WIRBELLOSEN WASSERTIEREN: Fleisch, Schlachtnebenerzeugnisse oder Blut, anders zubereitet oder haltbar gemacht: von Schweinen: Schinken und Teile davon: von Hausschweinen</t>
  </si>
  <si>
    <t>KAPITEL 16 - ZUBEREITUNGEN VON FLEISCH, FISCHEN, KREBSTIEREN, WEICHTIEREN, ANDEREN WIRBELLOSEN WASSERTIEREN ODER VON INSEKTEN: Fleisch, Schlachtnebenerzeugnisse, Blut oder Insekten, anders zubereitet oder haltbar gemacht: von Schweinen: Schinken und Teile davon: andere</t>
  </si>
  <si>
    <t>KAPITEL 16 - ZUBEREITUNGEN VON FLEISCH, FISCHEN ODER VON KREBSTIEREN, WEICHTIEREN UND ANDEREN WIRBELLOSEN WASSERTIEREN: Fleisch, Schlachtnebenerzeugnisse oder Blut, anders zubereitet oder haltbar gemacht: von Schweinen: Schinken und Teile davon: andere</t>
  </si>
  <si>
    <t>KAPITEL 16 - ZUBEREITUNGEN VON FLEISCH, FISCHEN, KREBSTIEREN, WEICHTIEREN, ANDEREN WIRBELLOSEN WASSERTIEREN ODER VON INSEKTEN: Fleisch, Schlachtnebenerzeugnisse, Blut oder Insekten, anders zubereitet oder haltbar gemacht: von Schweinen: Schultern und Teile davon: von Hausschweinen</t>
  </si>
  <si>
    <t>KAPITEL 16 - ZUBEREITUNGEN VON FLEISCH, FISCHEN ODER VON KREBSTIEREN, WEICHTIEREN UND ANDEREN WIRBELLOSEN WASSERTIEREN: Fleisch, Schlachtnebenerzeugnisse oder Blut, anders zubereitet oder haltbar gemacht: von Schweinen: Schultern und Teile davon: von Hausschweinen</t>
  </si>
  <si>
    <t>KAPITEL 16 - ZUBEREITUNGEN VON FLEISCH, FISCHEN, KREBSTIEREN, WEICHTIEREN, ANDEREN WIRBELLOSEN WASSERTIEREN ODER VON INSEKTEN: Fleisch, Schlachtnebenerzeugnisse, Blut oder Insekten, anders zubereitet oder haltbar gemacht: von Schweinen: Schultern und Teile davon: andere</t>
  </si>
  <si>
    <t>KAPITEL 16 - ZUBEREITUNGEN VON FLEISCH, FISCHEN ODER VON KREBSTIEREN, WEICHTIEREN UND ANDEREN WIRBELLOSEN WASSERTIEREN: Fleisch, Schlachtnebenerzeugnisse oder Blut, anders zubereitet oder haltbar gemacht: von Schweinen: Schultern und Teile davon: andere</t>
  </si>
  <si>
    <t>Kotelettstränge (ausgenommen Nacken) und Teile davon, einschließlich Mischungen aus Kotelettsträngen und Schinken</t>
  </si>
  <si>
    <t>KAPITEL 16 - ZUBEREITUNGEN VON FLEISCH, FISCHEN, KREBSTIEREN, WEICHTIEREN, ANDEREN WIRBELLOSEN WASSERTIEREN ODER VON INSEKTEN: Fleisch, Schlachtnebenerzeugnisse, Blut oder Insekten, anders zubereitet oder haltbar gemacht: von Schweinen: andere, einschließlich Mischungen: von Hausschweinen: mit einem Gehalt an Fleisch oder Schlachtnebenerzeugnissen aller Art, einschließlich Schweinespeck und Fette jeder Art oder Herkunft, von 80 GHT oder mehr: Kotelettstränge (ausgenommen Nacken) und Teile davon, einschließlich Mischungen aus Kotelettsträngen und Schinken</t>
  </si>
  <si>
    <t>KAPITEL 16 - ZUBEREITUNGEN VON FLEISCH, FISCHEN ODER VON KREBSTIEREN, WEICHTIEREN UND ANDEREN WIRBELLOSEN WASSERTIEREN: Fleisch, Schlachtnebenerzeugnisse oder Blut, anders zubereitet oder haltbar gemacht: von Schweinen: andere, einschließlich Mischungen: von Hausschweinen: mit einem Gehalt an Fleisch oder Schlachtnebenerzeugnissen aller Art, einschließlich Schweinespeck und Fette jeder Art oder Herkunft, von 80 GHT oder mehr: Kotelettstränge (ausgenommen Nacken) und Teile davon, einschließlich Mischungen aus Kotelettsträngen und Schinken</t>
  </si>
  <si>
    <t>Nacken und Teile davon, einschließlich Mischungen aus Nacken und Schultern</t>
  </si>
  <si>
    <t>KAPITEL 16 - ZUBEREITUNGEN VON FLEISCH, FISCHEN, KREBSTIEREN, WEICHTIEREN, ANDEREN WIRBELLOSEN WASSERTIEREN ODER VON INSEKTEN: Fleisch, Schlachtnebenerzeugnisse, Blut oder Insekten, anders zubereitet oder haltbar gemacht: von Schweinen: andere, einschließlich Mischungen: von Hausschweinen: mit einem Gehalt an Fleisch oder Schlachtnebenerzeugnissen aller Art, einschließlich Schweinespeck und Fette jeder Art oder Herkunft, von 80 GHT oder mehr: Nacken und Teile davon, einschließlich Mischungen aus Nacken und Schultern</t>
  </si>
  <si>
    <t>KAPITEL 16 - ZUBEREITUNGEN VON FLEISCH, FISCHEN ODER VON KREBSTIEREN, WEICHTIEREN UND ANDEREN WIRBELLOSEN WASSERTIEREN: Fleisch, Schlachtnebenerzeugnisse oder Blut, anders zubereitet oder haltbar gemacht: von Schweinen: andere, einschließlich Mischungen: von Hausschweinen: mit einem Gehalt an Fleisch oder Schlachtnebenerzeugnissen aller Art, einschließlich Schweinespeck und Fette jeder Art oder Herkunft, von 80 GHT oder mehr: Nacken und Teile davon, einschließlich Mischungen aus Nacken und Schultern</t>
  </si>
  <si>
    <t>andere Mischungen, Schinken, Schultern, Kotelettstränge oder Nacken und Teile davon enthaltend</t>
  </si>
  <si>
    <t>KAPITEL 16 - ZUBEREITUNGEN VON FLEISCH, FISCHEN, KREBSTIEREN, WEICHTIEREN, ANDEREN WIRBELLOSEN WASSERTIEREN ODER VON INSEKTEN: Fleisch, Schlachtnebenerzeugnisse, Blut oder Insekten, anders zubereitet oder haltbar gemacht: von Schweinen: andere, einschließlich Mischungen: von Hausschweinen: mit einem Gehalt an Fleisch oder Schlachtnebenerzeugnissen aller Art, einschließlich Schweinespeck und Fette jeder Art oder Herkunft, von 80 GHT oder mehr: andere Mischungen, Schinken, Schultern, Kotelettstränge oder Nacken und Teile davon enthaltend</t>
  </si>
  <si>
    <t>KAPITEL 16 - ZUBEREITUNGEN VON FLEISCH, FISCHEN ODER VON KREBSTIEREN, WEICHTIEREN UND ANDEREN WIRBELLOSEN WASSERTIEREN: Fleisch, Schlachtnebenerzeugnisse oder Blut, anders zubereitet oder haltbar gemacht: von Schweinen: andere, einschließlich Mischungen: von Hausschweinen: mit einem Gehalt an Fleisch oder Schlachtnebenerzeugnissen aller Art, einschließlich Schweinespeck und Fette jeder Art oder Herkunft, von 80 GHT oder mehr: andere Mischungen, Schinken, Schultern, Kotelettstränge oder Nacken und Teile davon enthaltend</t>
  </si>
  <si>
    <t>KAPITEL 16 - ZUBEREITUNGEN VON FLEISCH, FISCHEN, KREBSTIEREN, WEICHTIEREN, ANDEREN WIRBELLOSEN WASSERTIEREN ODER VON INSEKTEN: Fleisch, Schlachtnebenerzeugnisse, Blut oder Insekten, anders zubereitet oder haltbar gemacht: von Schweinen: andere, einschließlich Mischungen: von Hausschweinen: mit einem Gehalt an Fleisch oder Schlachtnebenerzeugnissen aller Art, einschließlich Schweinespeck und Fette jeder Art oder Herkunft, von 80 GHT oder mehr: andere</t>
  </si>
  <si>
    <t>KAPITEL 16 - ZUBEREITUNGEN VON FLEISCH, FISCHEN ODER VON KREBSTIEREN, WEICHTIEREN UND ANDEREN WIRBELLOSEN WASSERTIEREN: Fleisch, Schlachtnebenerzeugnisse oder Blut, anders zubereitet oder haltbar gemacht: von Schweinen: andere, einschließlich Mischungen: von Hausschweinen: mit einem Gehalt an Fleisch oder Schlachtnebenerzeugnissen aller Art, einschließlich Schweinespeck und Fette jeder Art oder Herkunft, von 80 GHT oder mehr: andere</t>
  </si>
  <si>
    <t>mit einem Gehalt an Fleisch oder Schlachtnebenerzeugnissen aller Art, einschließlich Schweinespeck und Fette jeder Art oder Herkunft, von 40 GHT oder mehr, jedoch weniger als 80 GHT</t>
  </si>
  <si>
    <t>KAPITEL 16 - ZUBEREITUNGEN VON FLEISCH, FISCHEN, KREBSTIEREN, WEICHTIEREN, ANDEREN WIRBELLOSEN WASSERTIEREN ODER VON INSEKTEN: Fleisch, Schlachtnebenerzeugnisse, Blut oder Insekten, anders zubereitet oder haltbar gemacht: von Schweinen: andere, einschließlich Mischungen: von Hausschweinen: mit einem Gehalt an Fleisch oder Schlachtnebenerzeugnissen aller Art, einschließlich Schweinespeck und Fette jeder Art oder Herkunft, von 40 GHT oder mehr, jedoch weniger als 80 GHT</t>
  </si>
  <si>
    <t>KAPITEL 16 - ZUBEREITUNGEN VON FLEISCH, FISCHEN ODER VON KREBSTIEREN, WEICHTIEREN UND ANDEREN WIRBELLOSEN WASSERTIEREN: Fleisch, Schlachtnebenerzeugnisse oder Blut, anders zubereitet oder haltbar gemacht: von Schweinen: andere, einschließlich Mischungen: von Hausschweinen: mit einem Gehalt an Fleisch oder Schlachtnebenerzeugnissen aller Art, einschließlich Schweinespeck und Fette jeder Art oder Herkunft, von 40 GHT oder mehr, jedoch weniger als 80 GHT</t>
  </si>
  <si>
    <t>mit einem Gehalt an Fleisch oder Schlachtnebenerzeugnissen aller Art, einschließlich Schweinespeck und Fette jeder Art oder Herkunft, von weniger als 40 GHT</t>
  </si>
  <si>
    <t>KAPITEL 16 - ZUBEREITUNGEN VON FLEISCH, FISCHEN, KREBSTIEREN, WEICHTIEREN, ANDEREN WIRBELLOSEN WASSERTIEREN ODER VON INSEKTEN: Fleisch, Schlachtnebenerzeugnisse, Blut oder Insekten, anders zubereitet oder haltbar gemacht: von Schweinen: andere, einschließlich Mischungen: von Hausschweinen: mit einem Gehalt an Fleisch oder Schlachtnebenerzeugnissen aller Art, einschließlich Schweinespeck und Fette jeder Art oder Herkunft, von weniger als 40 GHT</t>
  </si>
  <si>
    <t>KAPITEL 16 - ZUBEREITUNGEN VON FLEISCH, FISCHEN ODER VON KREBSTIEREN, WEICHTIEREN UND ANDEREN WIRBELLOSEN WASSERTIEREN: Fleisch, Schlachtnebenerzeugnisse oder Blut, anders zubereitet oder haltbar gemacht: von Schweinen: andere, einschließlich Mischungen: von Hausschweinen: mit einem Gehalt an Fleisch oder Schlachtnebenerzeugnissen aller Art, einschließlich Schweinespeck und Fette jeder Art oder Herkunft, von weniger als 40 GHT</t>
  </si>
  <si>
    <t>KAPITEL 16 - ZUBEREITUNGEN VON FLEISCH, FISCHEN, KREBSTIEREN, WEICHTIEREN, ANDEREN WIRBELLOSEN WASSERTIEREN ODER VON INSEKTEN: Fleisch, Schlachtnebenerzeugnisse, Blut oder Insekten, anders zubereitet oder haltbar gemacht: von Schweinen: andere, einschließlich Mischungen: andere</t>
  </si>
  <si>
    <t>KAPITEL 16 - ZUBEREITUNGEN VON FLEISCH, FISCHEN ODER VON KREBSTIEREN, WEICHTIEREN UND ANDEREN WIRBELLOSEN WASSERTIEREN: Fleisch, Schlachtnebenerzeugnisse oder Blut, anders zubereitet oder haltbar gemacht: von Schweinen: andere, einschließlich Mischungen: andere</t>
  </si>
  <si>
    <t>nicht gegart; Mischungen aus gegartem Fleisch oder gegarten Schlachtnebenerzeugnissen und nicht gegartem Fleisch oder nicht gegarten Schlachtnebenerzeugnissen</t>
  </si>
  <si>
    <t>KAPITEL 16 - ZUBEREITUNGEN VON FLEISCH, FISCHEN, KREBSTIEREN, WEICHTIEREN, ANDEREN WIRBELLOSEN WASSERTIEREN ODER VON INSEKTEN: Fleisch, Schlachtnebenerzeugnisse, Blut oder Insekten, anders zubereitet oder haltbar gemacht: von Rindern: nicht gegart; Mischungen aus gegartem Fleisch oder gegarten Schlachtnebenerzeugnissen und nicht gegartem Fleisch oder nicht gegarten Schlachtnebenerzeugnissen</t>
  </si>
  <si>
    <t>KAPITEL 16 - ZUBEREITUNGEN VON FLEISCH, FISCHEN ODER VON KREBSTIEREN, WEICHTIEREN UND ANDEREN WIRBELLOSEN WASSERTIEREN: Fleisch, Schlachtnebenerzeugnisse oder Blut, anders zubereitet oder haltbar gemacht: von Rindern: nicht gegart; Mischungen aus gegartem Fleisch oder gegarten Schlachtnebenerzeugnissen und nicht gegartem Fleisch oder nicht gegarten Schlachtnebenerzeugnissen</t>
  </si>
  <si>
    <t>Corned Beef, in luftdicht verschlossenen Behältnissen</t>
  </si>
  <si>
    <t>KAPITEL 16 - ZUBEREITUNGEN VON FLEISCH, FISCHEN, KREBSTIEREN, WEICHTIEREN, ANDEREN WIRBELLOSEN WASSERTIEREN ODER VON INSEKTEN: Fleisch, Schlachtnebenerzeugnisse, Blut oder Insekten, anders zubereitet oder haltbar gemacht: von Rindern: andere: Corned Beef, in luftdicht verschlossenen Behältnissen</t>
  </si>
  <si>
    <t>KAPITEL 16 - ZUBEREITUNGEN VON FLEISCH, FISCHEN ODER VON KREBSTIEREN, WEICHTIEREN UND ANDEREN WIRBELLOSEN WASSERTIEREN: Fleisch, Schlachtnebenerzeugnisse oder Blut, anders zubereitet oder haltbar gemacht: von Rindern: andere: Corned Beef, in luftdicht verschlossenen Behältnissen</t>
  </si>
  <si>
    <t>KAPITEL 16 - ZUBEREITUNGEN VON FLEISCH, FISCHEN, KREBSTIEREN, WEICHTIEREN, ANDEREN WIRBELLOSEN WASSERTIEREN ODER VON INSEKTEN: Fleisch, Schlachtnebenerzeugnisse, Blut oder Insekten, anders zubereitet oder haltbar gemacht: von Rindern: andere: andere</t>
  </si>
  <si>
    <t>KAPITEL 16 - ZUBEREITUNGEN VON FLEISCH, FISCHEN ODER VON KREBSTIEREN, WEICHTIEREN UND ANDEREN WIRBELLOSEN WASSERTIEREN: Fleisch, Schlachtnebenerzeugnisse oder Blut, anders zubereitet oder haltbar gemacht: von Rindern: andere: andere</t>
  </si>
  <si>
    <t>Zubereitungen aus Blut aller Tierarten</t>
  </si>
  <si>
    <t>KAPITEL 16 - ZUBEREITUNGEN VON FLEISCH, FISCHEN, KREBSTIEREN, WEICHTIEREN, ANDEREN WIRBELLOSEN WASSERTIEREN ODER VON INSEKTEN: Fleisch, Schlachtnebenerzeugnisse, Blut oder Insekten, anders zubereitet oder haltbar gemacht: andere, einschließlich Zubereitungen aus Blut aller Tierarten: Zubereitungen aus Blut aller Tierarten</t>
  </si>
  <si>
    <t>KAPITEL 16 - ZUBEREITUNGEN VON FLEISCH, FISCHEN ODER VON KREBSTIEREN, WEICHTIEREN UND ANDEREN WIRBELLOSEN WASSERTIEREN: Fleisch, Schlachtnebenerzeugnisse oder Blut, anders zubereitet oder haltbar gemacht: andere, einschließlich Zubereitungen aus Blut aller Tierarten: Zubereitungen aus Blut aller Tierarten</t>
  </si>
  <si>
    <t>von Wild oder Kaninchen</t>
  </si>
  <si>
    <t>KAPITEL 16 - ZUBEREITUNGEN VON FLEISCH, FISCHEN, KREBSTIEREN, WEICHTIEREN, ANDEREN WIRBELLOSEN WASSERTIEREN ODER VON INSEKTEN: Fleisch, Schlachtnebenerzeugnisse, Blut oder Insekten, anders zubereitet oder haltbar gemacht: andere, einschließlich Zubereitungen aus Blut aller Tierarten: andere: von Wild oder Kaninchen</t>
  </si>
  <si>
    <t>KAPITEL 16 - ZUBEREITUNGEN VON FLEISCH, FISCHEN ODER VON KREBSTIEREN, WEICHTIEREN UND ANDEREN WIRBELLOSEN WASSERTIEREN: Fleisch, Schlachtnebenerzeugnisse oder Blut, anders zubereitet oder haltbar gemacht: andere, einschließlich Zubereitungen aus Blut aller Tierarten: andere: von Wild oder Kaninchen</t>
  </si>
  <si>
    <t>Fleisch oder Schlachtnebenerzeugnisse von Hausschweinen enthaltend</t>
  </si>
  <si>
    <t>KAPITEL 16 - ZUBEREITUNGEN VON FLEISCH, FISCHEN, KREBSTIEREN, WEICHTIEREN, ANDEREN WIRBELLOSEN WASSERTIEREN ODER VON INSEKTEN: Fleisch, Schlachtnebenerzeugnisse, Blut oder Insekten, anders zubereitet oder haltbar gemacht: andere, einschließlich Zubereitungen aus Blut aller Tierarten: andere: andere: Fleisch oder Schlachtnebenerzeugnisse von Hausschweinen enthaltend</t>
  </si>
  <si>
    <t>KAPITEL 16 - ZUBEREITUNGEN VON FLEISCH, FISCHEN ODER VON KREBSTIEREN, WEICHTIEREN UND ANDEREN WIRBELLOSEN WASSERTIEREN: Fleisch, Schlachtnebenerzeugnisse oder Blut, anders zubereitet oder haltbar gemacht: andere, einschließlich Zubereitungen aus Blut aller Tierarten: andere: andere: Fleisch oder Schlachtnebenerzeugnisse von Hausschweinen enthaltend</t>
  </si>
  <si>
    <t>KAPITEL 16 - ZUBEREITUNGEN VON FLEISCH, FISCHEN, KREBSTIEREN, WEICHTIEREN, ANDEREN WIRBELLOSEN WASSERTIEREN ODER VON INSEKTEN: Fleisch, Schlachtnebenerzeugnisse, Blut oder Insekten, anders zubereitet oder haltbar gemacht: andere, einschließlich Zubereitungen aus Blut aller Tierarten: andere: andere: andere: Fleisch oder Schlachtnebenerzeugnisse von Rindern enthaltend: nicht gegart; Mischungen aus gegartem Fleisch oder gegarten Schlachtnebenerzeugnissen und nicht gegartem Fleisch oder nicht gegarten Schlachtnebenerzeugnissen</t>
  </si>
  <si>
    <t>KAPITEL 16 - ZUBEREITUNGEN VON FLEISCH, FISCHEN ODER VON KREBSTIEREN, WEICHTIEREN UND ANDEREN WIRBELLOSEN WASSERTIEREN: Fleisch, Schlachtnebenerzeugnisse oder Blut, anders zubereitet oder haltbar gemacht: andere, einschließlich Zubereitungen aus Blut aller Tierarten: andere: andere: andere: Fleisch oder Schlachtnebenerzeugnisse von Rindern enthaltend: nicht gegart; Mischungen aus gegartem Fleisch oder gegarten Schlachtnebenerzeugnissen und nicht gegartem Fleisch oder nicht gegarten Schlachtnebenerzeugnissen</t>
  </si>
  <si>
    <t>KAPITEL 16 - ZUBEREITUNGEN VON FLEISCH, FISCHEN, KREBSTIEREN, WEICHTIEREN, ANDEREN WIRBELLOSEN WASSERTIEREN ODER VON INSEKTEN: Fleisch, Schlachtnebenerzeugnisse, Blut oder Insekten, anders zubereitet oder haltbar gemacht: andere, einschließlich Zubereitungen aus Blut aller Tierarten: andere: andere: andere: Fleisch oder Schlachtnebenerzeugnisse von Rindern enthaltend: andere</t>
  </si>
  <si>
    <t>KAPITEL 16 - ZUBEREITUNGEN VON FLEISCH, FISCHEN ODER VON KREBSTIEREN, WEICHTIEREN UND ANDEREN WIRBELLOSEN WASSERTIEREN: Fleisch, Schlachtnebenerzeugnisse oder Blut, anders zubereitet oder haltbar gemacht: andere, einschließlich Zubereitungen aus Blut aller Tierarten: andere: andere: andere: Fleisch oder Schlachtnebenerzeugnisse von Rindern enthaltend: andere</t>
  </si>
  <si>
    <t>von Schafen</t>
  </si>
  <si>
    <t>KAPITEL 16 - ZUBEREITUNGEN VON FLEISCH, FISCHEN, KREBSTIEREN, WEICHTIEREN, ANDEREN WIRBELLOSEN WASSERTIEREN ODER VON INSEKTEN: Fleisch, Schlachtnebenerzeugnisse, Blut oder Insekten, anders zubereitet oder haltbar gemacht: andere, einschließlich Zubereitungen aus Blut aller Tierarten: andere: andere: andere: andere: von Schafen</t>
  </si>
  <si>
    <t>KAPITEL 16 - ZUBEREITUNGEN VON FLEISCH, FISCHEN ODER VON KREBSTIEREN, WEICHTIEREN UND ANDEREN WIRBELLOSEN WASSERTIEREN: Fleisch, Schlachtnebenerzeugnisse oder Blut, anders zubereitet oder haltbar gemacht: andere, einschließlich Zubereitungen aus Blut aller Tierarten: andere: andere: andere: andere: von Schafen</t>
  </si>
  <si>
    <t>von Ziegen</t>
  </si>
  <si>
    <t>KAPITEL 16 - ZUBEREITUNGEN VON FLEISCH, FISCHEN, KREBSTIEREN, WEICHTIEREN, ANDEREN WIRBELLOSEN WASSERTIEREN ODER VON INSEKTEN: Fleisch, Schlachtnebenerzeugnisse, Blut oder Insekten, anders zubereitet oder haltbar gemacht: andere, einschließlich Zubereitungen aus Blut aller Tierarten: andere: andere: andere: andere: von Ziegen</t>
  </si>
  <si>
    <t>KAPITEL 16 - ZUBEREITUNGEN VON FLEISCH, FISCHEN ODER VON KREBSTIEREN, WEICHTIEREN UND ANDEREN WIRBELLOSEN WASSERTIEREN: Fleisch, Schlachtnebenerzeugnisse oder Blut, anders zubereitet oder haltbar gemacht: andere, einschließlich Zubereitungen aus Blut aller Tierarten: andere: andere: andere: andere: von Ziegen</t>
  </si>
  <si>
    <t>KAPITEL 16 - ZUBEREITUNGEN VON FLEISCH, FISCHEN, KREBSTIEREN, WEICHTIEREN, ANDEREN WIRBELLOSEN WASSERTIEREN ODER VON INSEKTEN: Fleisch, Schlachtnebenerzeugnisse, Blut oder Insekten, anders zubereitet oder haltbar gemacht: andere, einschließlich Zubereitungen aus Blut aller Tierarten: andere: andere: andere: andere: andere</t>
  </si>
  <si>
    <t>KAPITEL 16 - ZUBEREITUNGEN VON FLEISCH, FISCHEN ODER VON KREBSTIEREN, WEICHTIEREN UND ANDEREN WIRBELLOSEN WASSERTIEREN: Fleisch, Schlachtnebenerzeugnisse oder Blut, anders zubereitet oder haltbar gemacht: andere, einschließlich Zubereitungen aus Blut aller Tierarten: andere: andere: andere: andere: andere</t>
  </si>
  <si>
    <t>KAPITEL 16 - ZUBEREITUNGEN VON FLEISCH, FISCHEN, KREBSTIEREN, WEICHTIEREN, ANDEREN WIRBELLOSEN WASSERTIEREN ODER VON INSEKTEN: Extrakte und Säfte von Fleisch, Fischen, Krebstieren, Weichtieren und anderen wirbellosen Wassertieren: in unmittelbaren Umschließungen mit einem Gewicht des Inhalts von 1 kg oder weniger</t>
  </si>
  <si>
    <t>KAPITEL 16 - ZUBEREITUNGEN VON FLEISCH, FISCHEN ODER VON KREBSTIEREN, WEICHTIEREN UND ANDEREN WIRBELLOSEN WASSERTIEREN: Extrakte und Säfte von Fleisch, Fischen, Krebstieren, Weichtieren und anderen wirbellosen Wassertieren: in unmittelbaren Umschließungen mit einem Gewicht des Inhalts von 1 kg oder weniger</t>
  </si>
  <si>
    <t>KAPITEL 16 - ZUBEREITUNGEN VON FLEISCH, FISCHEN, KREBSTIEREN, WEICHTIEREN, ANDEREN WIRBELLOSEN WASSERTIEREN ODER VON INSEKTEN: Extrakte und Säfte von Fleisch, Fischen, Krebstieren, Weichtieren und anderen wirbellosen Wassertieren: andere</t>
  </si>
  <si>
    <t>KAPITEL 16 - ZUBEREITUNGEN VON FLEISCH, FISCHEN ODER VON KREBSTIEREN, WEICHTIEREN UND ANDEREN WIRBELLOSEN WASSERTIEREN: Extrakte und Säfte von Fleisch, Fischen, Krebstieren, Weichtieren und anderen wirbellosen Wassertieren: andere</t>
  </si>
  <si>
    <t>Lachse</t>
  </si>
  <si>
    <t>KAPITEL 16 - ZUBEREITUNGEN VON FLEISCH, FISCHEN, KREBSTIEREN, WEICHTIEREN, ANDEREN WIRBELLOSEN WASSERTIEREN ODER VON INSEKTEN: Fische, zubereitet oder haltbar gemacht; Kaviar und Kaviarersatz, aus Fischeiern gewonnen: Fische, ganz oder in Stücken, jedoch nicht fein zerkleinert: Lachse</t>
  </si>
  <si>
    <t>KAPITEL 16 - ZUBEREITUNGEN VON FLEISCH, FISCHEN ODER VON KREBSTIEREN, WEICHTIEREN UND ANDEREN WIRBELLOSEN WASSERTIEREN: Fische, zubereitet oder haltbar gemacht; Kaviar und Kaviarersatz, aus Fischeiern gewonnen: Fische, ganz oder in Stücken, jedoch nicht fein zerkleinert: Lachse</t>
  </si>
  <si>
    <t>Filets, roh, lediglich mit Teig umhüllt oder mit Paniermehl bestreut (paniert), auch in Öl vorgebacken, gefroren</t>
  </si>
  <si>
    <t>KAPITEL 16 - ZUBEREITUNGEN VON FLEISCH, FISCHEN, KREBSTIEREN, WEICHTIEREN, ANDEREN WIRBELLOSEN WASSERTIEREN ODER VON INSEKTEN: Fische, zubereitet oder haltbar gemacht; Kaviar und Kaviarersatz, aus Fischeiern gewonnen: Fische, ganz oder in Stücken, jedoch nicht fein zerkleinert: Heringe: Filets, roh, lediglich mit Teig umhüllt oder mit Paniermehl bestreut (paniert), auch in Öl vorgebacken, gefroren</t>
  </si>
  <si>
    <t>KAPITEL 16 - ZUBEREITUNGEN VON FLEISCH, FISCHEN ODER VON KREBSTIEREN, WEICHTIEREN UND ANDEREN WIRBELLOSEN WASSERTIEREN: Fische, zubereitet oder haltbar gemacht; Kaviar und Kaviarersatz, aus Fischeiern gewonnen: Fische, ganz oder in Stücken, jedoch nicht fein zerkleinert: Heringe: Filets, roh, lediglich mit Teig umhüllt oder mit Paniermehl bestreut (paniert), auch in Öl vorgebacken, gefroren</t>
  </si>
  <si>
    <t>in luftdicht verschlossenen Behältnissen</t>
  </si>
  <si>
    <t>KAPITEL 16 - ZUBEREITUNGEN VON FLEISCH, FISCHEN, KREBSTIEREN, WEICHTIEREN, ANDEREN WIRBELLOSEN WASSERTIEREN ODER VON INSEKTEN: Fische, zubereitet oder haltbar gemacht; Kaviar und Kaviarersatz, aus Fischeiern gewonnen: Fische, ganz oder in Stücken, jedoch nicht fein zerkleinert: Heringe: andere: in luftdicht verschlossenen Behältnissen</t>
  </si>
  <si>
    <t>KAPITEL 16 - ZUBEREITUNGEN VON FLEISCH, FISCHEN ODER VON KREBSTIEREN, WEICHTIEREN UND ANDEREN WIRBELLOSEN WASSERTIEREN: Fische, zubereitet oder haltbar gemacht; Kaviar und Kaviarersatz, aus Fischeiern gewonnen: Fische, ganz oder in Stücken, jedoch nicht fein zerkleinert: Heringe: andere: in luftdicht verschlossenen Behältnissen</t>
  </si>
  <si>
    <t>KAPITEL 16 - ZUBEREITUNGEN VON FLEISCH, FISCHEN, KREBSTIEREN, WEICHTIEREN, ANDEREN WIRBELLOSEN WASSERTIEREN ODER VON INSEKTEN: Fische, zubereitet oder haltbar gemacht; Kaviar und Kaviarersatz, aus Fischeiern gewonnen: Fische, ganz oder in Stücken, jedoch nicht fein zerkleinert: Heringe: andere: andere</t>
  </si>
  <si>
    <t>KAPITEL 16 - ZUBEREITUNGEN VON FLEISCH, FISCHEN ODER VON KREBSTIEREN, WEICHTIEREN UND ANDEREN WIRBELLOSEN WASSERTIEREN: Fische, zubereitet oder haltbar gemacht; Kaviar und Kaviarersatz, aus Fischeiern gewonnen: Fische, ganz oder in Stücken, jedoch nicht fein zerkleinert: Heringe: andere: andere</t>
  </si>
  <si>
    <t>in Olivenöl</t>
  </si>
  <si>
    <t>KAPITEL 16 - ZUBEREITUNGEN VON FLEISCH, FISCHEN, KREBSTIEREN, WEICHTIEREN, ANDEREN WIRBELLOSEN WASSERTIEREN ODER VON INSEKTEN: Fische, zubereitet oder haltbar gemacht; Kaviar und Kaviarersatz, aus Fischeiern gewonnen: Fische, ganz oder in Stücken, jedoch nicht fein zerkleinert: Sardinen, Sardinellen und Sprotten: Sardinen: in Olivenöl</t>
  </si>
  <si>
    <t>KAPITEL 16 - ZUBEREITUNGEN VON FLEISCH, FISCHEN ODER VON KREBSTIEREN, WEICHTIEREN UND ANDEREN WIRBELLOSEN WASSERTIEREN: Fische, zubereitet oder haltbar gemacht; Kaviar und Kaviarersatz, aus Fischeiern gewonnen: Fische, ganz oder in Stücken, jedoch nicht fein zerkleinert: Sardinen, Sardinellen und Sprotten: Sardinen: in Olivenöl</t>
  </si>
  <si>
    <t>KAPITEL 16 - ZUBEREITUNGEN VON FLEISCH, FISCHEN, KREBSTIEREN, WEICHTIEREN, ANDEREN WIRBELLOSEN WASSERTIEREN ODER VON INSEKTEN: Fische, zubereitet oder haltbar gemacht; Kaviar und Kaviarersatz, aus Fischeiern gewonnen: Fische, ganz oder in Stücken, jedoch nicht fein zerkleinert: Sardinen, Sardinellen und Sprotten: Sardinen: andere</t>
  </si>
  <si>
    <t>KAPITEL 16 - ZUBEREITUNGEN VON FLEISCH, FISCHEN ODER VON KREBSTIEREN, WEICHTIEREN UND ANDEREN WIRBELLOSEN WASSERTIEREN: Fische, zubereitet oder haltbar gemacht; Kaviar und Kaviarersatz, aus Fischeiern gewonnen: Fische, ganz oder in Stücken, jedoch nicht fein zerkleinert: Sardinen, Sardinellen und Sprotten: Sardinen: andere</t>
  </si>
  <si>
    <t>KAPITEL 16 - ZUBEREITUNGEN VON FLEISCH, FISCHEN, KREBSTIEREN, WEICHTIEREN, ANDEREN WIRBELLOSEN WASSERTIEREN ODER VON INSEKTEN: Fische, zubereitet oder haltbar gemacht; Kaviar und Kaviarersatz, aus Fischeiern gewonnen: Fische, ganz oder in Stücken, jedoch nicht fein zerkleinert: Sardinen, Sardinellen und Sprotten: andere</t>
  </si>
  <si>
    <t>KAPITEL 16 - ZUBEREITUNGEN VON FLEISCH, FISCHEN ODER VON KREBSTIEREN, WEICHTIEREN UND ANDEREN WIRBELLOSEN WASSERTIEREN: Fische, zubereitet oder haltbar gemacht; Kaviar und Kaviarersatz, aus Fischeiern gewonnen: Fische, ganz oder in Stücken, jedoch nicht fein zerkleinert: Sardinen, Sardinellen und Sprotten: andere</t>
  </si>
  <si>
    <t>in Pflanzenöl</t>
  </si>
  <si>
    <t>KAPITEL 16 - ZUBEREITUNGEN VON FLEISCH, FISCHEN, KREBSTIEREN, WEICHTIEREN, ANDEREN WIRBELLOSEN WASSERTIEREN ODER VON INSEKTEN: Fische, zubereitet oder haltbar gemacht; Kaviar und Kaviarersatz, aus Fischeiern gewonnen: Fische, ganz oder in Stücken, jedoch nicht fein zerkleinert: Thunfische, echter Bonito und Pelamide (Sarda spp.): Thunfische und echter Bonito: echter Bonito: in Pflanzenöl</t>
  </si>
  <si>
    <t>KAPITEL 16 - ZUBEREITUNGEN VON FLEISCH, FISCHEN ODER VON KREBSTIEREN, WEICHTIEREN UND ANDEREN WIRBELLOSEN WASSERTIEREN: Fische, zubereitet oder haltbar gemacht; Kaviar und Kaviarersatz, aus Fischeiern gewonnen: Fische, ganz oder in Stücken, jedoch nicht fein zerkleinert: Thunfische, echter Bonito und Pelamide (Sarda spp.): Thunfische und echter Bonito: echter Bonito: in Pflanzenöl</t>
  </si>
  <si>
    <t>Filets genannt „Loins“</t>
  </si>
  <si>
    <t>KAPITEL 16 - ZUBEREITUNGEN VON FLEISCH, FISCHEN, KREBSTIEREN, WEICHTIEREN, ANDEREN WIRBELLOSEN WASSERTIEREN ODER VON INSEKTEN: Fische, zubereitet oder haltbar gemacht; Kaviar und Kaviarersatz, aus Fischeiern gewonnen: Fische, ganz oder in Stücken, jedoch nicht fein zerkleinert: Thunfische, echter Bonito und Pelamide (Sarda spp.): Thunfische und echter Bonito: echter Bonito: andere: Filets genannt „Loins“</t>
  </si>
  <si>
    <t>KAPITEL 16 - ZUBEREITUNGEN VON FLEISCH, FISCHEN ODER VON KREBSTIEREN, WEICHTIEREN UND ANDEREN WIRBELLOSEN WASSERTIEREN: Fische, zubereitet oder haltbar gemacht; Kaviar und Kaviarersatz, aus Fischeiern gewonnen: Fische, ganz oder in Stücken, jedoch nicht fein zerkleinert: Thunfische, echter Bonito und Pelamide (Sarda spp.): Thunfische und echter Bonito: echter Bonito: andere: Filets genannt „Loins“</t>
  </si>
  <si>
    <t>KAPITEL 16 - ZUBEREITUNGEN VON FLEISCH, FISCHEN, KREBSTIEREN, WEICHTIEREN, ANDEREN WIRBELLOSEN WASSERTIEREN ODER VON INSEKTEN: Fische, zubereitet oder haltbar gemacht; Kaviar und Kaviarersatz, aus Fischeiern gewonnen: Fische, ganz oder in Stücken, jedoch nicht fein zerkleinert: Thunfische, echter Bonito und Pelamide (Sarda spp.): Thunfische und echter Bonito: echter Bonito: andere: andere</t>
  </si>
  <si>
    <t>KAPITEL 16 - ZUBEREITUNGEN VON FLEISCH, FISCHEN ODER VON KREBSTIEREN, WEICHTIEREN UND ANDEREN WIRBELLOSEN WASSERTIEREN: Fische, zubereitet oder haltbar gemacht; Kaviar und Kaviarersatz, aus Fischeiern gewonnen: Fische, ganz oder in Stücken, jedoch nicht fein zerkleinert: Thunfische, echter Bonito und Pelamide (Sarda spp.): Thunfische und echter Bonito: echter Bonito: andere: andere</t>
  </si>
  <si>
    <t>KAPITEL 16 - ZUBEREITUNGEN VON FLEISCH, FISCHEN, KREBSTIEREN, WEICHTIEREN, ANDEREN WIRBELLOSEN WASSERTIEREN ODER VON INSEKTEN: Fische, zubereitet oder haltbar gemacht; Kaviar und Kaviarersatz, aus Fischeiern gewonnen: Fische, ganz oder in Stücken, jedoch nicht fein zerkleinert: Thunfische, echter Bonito und Pelamide (Sarda spp.): Thunfische und echter Bonito: Gelbflossenthun (Thunnus albacares): in Pflanzenöl</t>
  </si>
  <si>
    <t>KAPITEL 16 - ZUBEREITUNGEN VON FLEISCH, FISCHEN ODER VON KREBSTIEREN, WEICHTIEREN UND ANDEREN WIRBELLOSEN WASSERTIEREN: Fische, zubereitet oder haltbar gemacht; Kaviar und Kaviarersatz, aus Fischeiern gewonnen: Fische, ganz oder in Stücken, jedoch nicht fein zerkleinert: Thunfische, echter Bonito und Pelamide (Sarda spp.): Thunfische und echter Bonito: Gelbflossenthun (Thunnus albacares): in Pflanzenöl</t>
  </si>
  <si>
    <t>KAPITEL 16 - ZUBEREITUNGEN VON FLEISCH, FISCHEN, KREBSTIEREN, WEICHTIEREN, ANDEREN WIRBELLOSEN WASSERTIEREN ODER VON INSEKTEN: Fische, zubereitet oder haltbar gemacht; Kaviar und Kaviarersatz, aus Fischeiern gewonnen: Fische, ganz oder in Stücken, jedoch nicht fein zerkleinert: Thunfische, echter Bonito und Pelamide (Sarda spp.): Thunfische und echter Bonito: Gelbflossenthun (Thunnus albacares): andere: Filets genannt „Loins“</t>
  </si>
  <si>
    <t>KAPITEL 16 - ZUBEREITUNGEN VON FLEISCH, FISCHEN ODER VON KREBSTIEREN, WEICHTIEREN UND ANDEREN WIRBELLOSEN WASSERTIEREN: Fische, zubereitet oder haltbar gemacht; Kaviar und Kaviarersatz, aus Fischeiern gewonnen: Fische, ganz oder in Stücken, jedoch nicht fein zerkleinert: Thunfische, echter Bonito und Pelamide (Sarda spp.): Thunfische und echter Bonito: Gelbflossenthun (Thunnus albacares): andere: Filets genannt „Loins“</t>
  </si>
  <si>
    <t>KAPITEL 16 - ZUBEREITUNGEN VON FLEISCH, FISCHEN, KREBSTIEREN, WEICHTIEREN, ANDEREN WIRBELLOSEN WASSERTIEREN ODER VON INSEKTEN: Fische, zubereitet oder haltbar gemacht; Kaviar und Kaviarersatz, aus Fischeiern gewonnen: Fische, ganz oder in Stücken, jedoch nicht fein zerkleinert: Thunfische, echter Bonito und Pelamide (Sarda spp.): Thunfische und echter Bonito: Gelbflossenthun (Thunnus albacares): andere: andere</t>
  </si>
  <si>
    <t>KAPITEL 16 - ZUBEREITUNGEN VON FLEISCH, FISCHEN ODER VON KREBSTIEREN, WEICHTIEREN UND ANDEREN WIRBELLOSEN WASSERTIEREN: Fische, zubereitet oder haltbar gemacht; Kaviar und Kaviarersatz, aus Fischeiern gewonnen: Fische, ganz oder in Stücken, jedoch nicht fein zerkleinert: Thunfische, echter Bonito und Pelamide (Sarda spp.): Thunfische und echter Bonito: Gelbflossenthun (Thunnus albacares): andere: andere</t>
  </si>
  <si>
    <t>KAPITEL 16 - ZUBEREITUNGEN VON FLEISCH, FISCHEN, KREBSTIEREN, WEICHTIEREN, ANDEREN WIRBELLOSEN WASSERTIEREN ODER VON INSEKTEN: Fische, zubereitet oder haltbar gemacht; Kaviar und Kaviarersatz, aus Fischeiern gewonnen: Fische, ganz oder in Stücken, jedoch nicht fein zerkleinert: Thunfische, echter Bonito und Pelamide (Sarda spp.): Thunfische und echter Bonito: andere: in Pflanzenöl</t>
  </si>
  <si>
    <t>KAPITEL 16 - ZUBEREITUNGEN VON FLEISCH, FISCHEN ODER VON KREBSTIEREN, WEICHTIEREN UND ANDEREN WIRBELLOSEN WASSERTIEREN: Fische, zubereitet oder haltbar gemacht; Kaviar und Kaviarersatz, aus Fischeiern gewonnen: Fische, ganz oder in Stücken, jedoch nicht fein zerkleinert: Thunfische, echter Bonito und Pelamide (Sarda spp.): Thunfische und echter Bonito: andere: in Pflanzenöl</t>
  </si>
  <si>
    <t>KAPITEL 16 - ZUBEREITUNGEN VON FLEISCH, FISCHEN, KREBSTIEREN, WEICHTIEREN, ANDEREN WIRBELLOSEN WASSERTIEREN ODER VON INSEKTEN: Fische, zubereitet oder haltbar gemacht; Kaviar und Kaviarersatz, aus Fischeiern gewonnen: Fische, ganz oder in Stücken, jedoch nicht fein zerkleinert: Thunfische, echter Bonito und Pelamide (Sarda spp.): Thunfische und echter Bonito: andere: andere: Filets genannt „Loins“</t>
  </si>
  <si>
    <t>KAPITEL 16 - ZUBEREITUNGEN VON FLEISCH, FISCHEN ODER VON KREBSTIEREN, WEICHTIEREN UND ANDEREN WIRBELLOSEN WASSERTIEREN: Fische, zubereitet oder haltbar gemacht; Kaviar und Kaviarersatz, aus Fischeiern gewonnen: Fische, ganz oder in Stücken, jedoch nicht fein zerkleinert: Thunfische, echter Bonito und Pelamide (Sarda spp.): Thunfische und echter Bonito: andere: andere: Filets genannt „Loins“</t>
  </si>
  <si>
    <t>KAPITEL 16 - ZUBEREITUNGEN VON FLEISCH, FISCHEN, KREBSTIEREN, WEICHTIEREN, ANDEREN WIRBELLOSEN WASSERTIEREN ODER VON INSEKTEN: Fische, zubereitet oder haltbar gemacht; Kaviar und Kaviarersatz, aus Fischeiern gewonnen: Fische, ganz oder in Stücken, jedoch nicht fein zerkleinert: Thunfische, echter Bonito und Pelamide (Sarda spp.): Thunfische und echter Bonito: andere: andere: andere</t>
  </si>
  <si>
    <t>KAPITEL 16 - ZUBEREITUNGEN VON FLEISCH, FISCHEN ODER VON KREBSTIEREN, WEICHTIEREN UND ANDEREN WIRBELLOSEN WASSERTIEREN: Fische, zubereitet oder haltbar gemacht; Kaviar und Kaviarersatz, aus Fischeiern gewonnen: Fische, ganz oder in Stücken, jedoch nicht fein zerkleinert: Thunfische, echter Bonito und Pelamide (Sarda spp.): Thunfische und echter Bonito: andere: andere: andere</t>
  </si>
  <si>
    <t>Pelamide (Sarda spp.)</t>
  </si>
  <si>
    <t>KAPITEL 16 - ZUBEREITUNGEN VON FLEISCH, FISCHEN, KREBSTIEREN, WEICHTIEREN, ANDEREN WIRBELLOSEN WASSERTIEREN ODER VON INSEKTEN: Fische, zubereitet oder haltbar gemacht; Kaviar und Kaviarersatz, aus Fischeiern gewonnen: Fische, ganz oder in Stücken, jedoch nicht fein zerkleinert: Thunfische, echter Bonito und Pelamide (Sarda spp.): Pelamide (Sarda spp.)</t>
  </si>
  <si>
    <t>KAPITEL 16 - ZUBEREITUNGEN VON FLEISCH, FISCHEN ODER VON KREBSTIEREN, WEICHTIEREN UND ANDEREN WIRBELLOSEN WASSERTIEREN: Fische, zubereitet oder haltbar gemacht; Kaviar und Kaviarersatz, aus Fischeiern gewonnen: Fische, ganz oder in Stücken, jedoch nicht fein zerkleinert: Thunfische, echter Bonito und Pelamide (Sarda spp.): Pelamide (Sarda spp.)</t>
  </si>
  <si>
    <t>KAPITEL 16 - ZUBEREITUNGEN VON FLEISCH, FISCHEN, KREBSTIEREN, WEICHTIEREN, ANDEREN WIRBELLOSEN WASSERTIEREN ODER VON INSEKTEN: Fische, zubereitet oder haltbar gemacht; Kaviar und Kaviarersatz, aus Fischeiern gewonnen: Fische, ganz oder in Stücken, jedoch nicht fein zerkleinert: Makrelen: der Arten Scomber scombrus und Scomber japonicus: Filets</t>
  </si>
  <si>
    <t>KAPITEL 16 - ZUBEREITUNGEN VON FLEISCH, FISCHEN ODER VON KREBSTIEREN, WEICHTIEREN UND ANDEREN WIRBELLOSEN WASSERTIEREN: Fische, zubereitet oder haltbar gemacht; Kaviar und Kaviarersatz, aus Fischeiern gewonnen: Fische, ganz oder in Stücken, jedoch nicht fein zerkleinert: Makrelen: der Arten Scomber scombrus und Scomber japonicus: Filets</t>
  </si>
  <si>
    <t>KAPITEL 16 - ZUBEREITUNGEN VON FLEISCH, FISCHEN, KREBSTIEREN, WEICHTIEREN, ANDEREN WIRBELLOSEN WASSERTIEREN ODER VON INSEKTEN: Fische, zubereitet oder haltbar gemacht; Kaviar und Kaviarersatz, aus Fischeiern gewonnen: Fische, ganz oder in Stücken, jedoch nicht fein zerkleinert: Makrelen: der Arten Scomber scombrus und Scomber japonicus: andere</t>
  </si>
  <si>
    <t>KAPITEL 16 - ZUBEREITUNGEN VON FLEISCH, FISCHEN ODER VON KREBSTIEREN, WEICHTIEREN UND ANDEREN WIRBELLOSEN WASSERTIEREN: Fische, zubereitet oder haltbar gemacht; Kaviar und Kaviarersatz, aus Fischeiern gewonnen: Fische, ganz oder in Stücken, jedoch nicht fein zerkleinert: Makrelen: der Arten Scomber scombrus und Scomber japonicus: andere</t>
  </si>
  <si>
    <t>der Art Scomber australasicus</t>
  </si>
  <si>
    <t>KAPITEL 16 - ZUBEREITUNGEN VON FLEISCH, FISCHEN, KREBSTIEREN, WEICHTIEREN, ANDEREN WIRBELLOSEN WASSERTIEREN ODER VON INSEKTEN: Fische, zubereitet oder haltbar gemacht; Kaviar und Kaviarersatz, aus Fischeiern gewonnen: Fische, ganz oder in Stücken, jedoch nicht fein zerkleinert: Makrelen: der Art Scomber australasicus</t>
  </si>
  <si>
    <t>KAPITEL 16 - ZUBEREITUNGEN VON FLEISCH, FISCHEN ODER VON KREBSTIEREN, WEICHTIEREN UND ANDEREN WIRBELLOSEN WASSERTIEREN: Fische, zubereitet oder haltbar gemacht; Kaviar und Kaviarersatz, aus Fischeiern gewonnen: Fische, ganz oder in Stücken, jedoch nicht fein zerkleinert: Makrelen: der Art Scomber australasicus</t>
  </si>
  <si>
    <t>Sardellen</t>
  </si>
  <si>
    <t>KAPITEL 16 - ZUBEREITUNGEN VON FLEISCH, FISCHEN, KREBSTIEREN, WEICHTIEREN, ANDEREN WIRBELLOSEN WASSERTIEREN ODER VON INSEKTEN: Fische, zubereitet oder haltbar gemacht; Kaviar und Kaviarersatz, aus Fischeiern gewonnen: Fische, ganz oder in Stücken, jedoch nicht fein zerkleinert: Sardellen</t>
  </si>
  <si>
    <t>KAPITEL 16 - ZUBEREITUNGEN VON FLEISCH, FISCHEN ODER VON KREBSTIEREN, WEICHTIEREN UND ANDEREN WIRBELLOSEN WASSERTIEREN: Fische, zubereitet oder haltbar gemacht; Kaviar und Kaviarersatz, aus Fischeiern gewonnen: Fische, ganz oder in Stücken, jedoch nicht fein zerkleinert: Sardellen</t>
  </si>
  <si>
    <t>Aale</t>
  </si>
  <si>
    <t>KAPITEL 16 - ZUBEREITUNGEN VON FLEISCH, FISCHEN, KREBSTIEREN, WEICHTIEREN, ANDEREN WIRBELLOSEN WASSERTIEREN ODER VON INSEKTEN: Fische, zubereitet oder haltbar gemacht; Kaviar und Kaviarersatz, aus Fischeiern gewonnen: Fische, ganz oder in Stücken, jedoch nicht fein zerkleinert: Aale</t>
  </si>
  <si>
    <t>KAPITEL 16 - ZUBEREITUNGEN VON FLEISCH, FISCHEN ODER VON KREBSTIEREN, WEICHTIEREN UND ANDEREN WIRBELLOSEN WASSERTIEREN: Fische, zubereitet oder haltbar gemacht; Kaviar und Kaviarersatz, aus Fischeiern gewonnen: Fische, ganz oder in Stücken, jedoch nicht fein zerkleinert: Aale</t>
  </si>
  <si>
    <t>KAPITEL 16 - ZUBEREITUNGEN VON FLEISCH, FISCHEN, KREBSTIEREN, WEICHTIEREN, ANDEREN WIRBELLOSEN WASSERTIEREN ODER VON INSEKTEN: Fische, zubereitet oder haltbar gemacht; Kaviar und Kaviarersatz, aus Fischeiern gewonnen: Fische, ganz oder in Stücken, jedoch nicht fein zerkleinert: Haifischflossen</t>
  </si>
  <si>
    <t>KAPITEL 16 - ZUBEREITUNGEN VON FLEISCH, FISCHEN ODER VON KREBSTIEREN, WEICHTIEREN UND ANDEREN WIRBELLOSEN WASSERTIEREN: Fische, zubereitet oder haltbar gemacht; Kaviar und Kaviarersatz, aus Fischeiern gewonnen: Fische, ganz oder in Stücken, jedoch nicht fein zerkleinert: Haifischflossen</t>
  </si>
  <si>
    <t>Salmoniden, ausgenommen Lachse</t>
  </si>
  <si>
    <t>KAPITEL 16 - ZUBEREITUNGEN VON FLEISCH, FISCHEN, KREBSTIEREN, WEICHTIEREN, ANDEREN WIRBELLOSEN WASSERTIEREN ODER VON INSEKTEN: Fische, zubereitet oder haltbar gemacht; Kaviar und Kaviarersatz, aus Fischeiern gewonnen: Fische, ganz oder in Stücken, jedoch nicht fein zerkleinert: andere: Salmoniden, ausgenommen Lachse</t>
  </si>
  <si>
    <t>KAPITEL 16 - ZUBEREITUNGEN VON FLEISCH, FISCHEN ODER VON KREBSTIEREN, WEICHTIEREN UND ANDEREN WIRBELLOSEN WASSERTIEREN: Fische, zubereitet oder haltbar gemacht; Kaviar und Kaviarersatz, aus Fischeiern gewonnen: Fische, ganz oder in Stücken, jedoch nicht fein zerkleinert: andere: Salmoniden, ausgenommen Lachse</t>
  </si>
  <si>
    <t>KAPITEL 16 - ZUBEREITUNGEN VON FLEISCH, FISCHEN, KREBSTIEREN, WEICHTIEREN, ANDEREN WIRBELLOSEN WASSERTIEREN ODER VON INSEKTEN: Fische, zubereitet oder haltbar gemacht; Kaviar und Kaviarersatz, aus Fischeiern gewonnen: Fische, ganz oder in Stücken, jedoch nicht fein zerkleinert: andere: Fische der Gattung Euthynnus, andere als echter Bonito  (Katsuwonus pelamis): Filets genannt „Loins“</t>
  </si>
  <si>
    <t>KAPITEL 16 - ZUBEREITUNGEN VON FLEISCH, FISCHEN ODER VON KREBSTIEREN, WEICHTIEREN UND ANDEREN WIRBELLOSEN WASSERTIEREN: Fische, zubereitet oder haltbar gemacht; Kaviar und Kaviarersatz, aus Fischeiern gewonnen: Fische, ganz oder in Stücken, jedoch nicht fein zerkleinert: andere: Fische der Gattung Euthynnus, andere als echter Bonito (Euthynnus (Katsuwonus) pelamis): Filets genannt „Loins“</t>
  </si>
  <si>
    <t>KAPITEL 16 - ZUBEREITUNGEN VON FLEISCH, FISCHEN, KREBSTIEREN, WEICHTIEREN, ANDEREN WIRBELLOSEN WASSERTIEREN ODER VON INSEKTEN: Fische, zubereitet oder haltbar gemacht; Kaviar und Kaviarersatz, aus Fischeiern gewonnen: Fische, ganz oder in Stücken, jedoch nicht fein zerkleinert: andere: Fische der Gattung Euthynnus, andere als echter Bonito  (Katsuwonus pelamis): andere</t>
  </si>
  <si>
    <t>KAPITEL 16 - ZUBEREITUNGEN VON FLEISCH, FISCHEN ODER VON KREBSTIEREN, WEICHTIEREN UND ANDEREN WIRBELLOSEN WASSERTIEREN: Fische, zubereitet oder haltbar gemacht; Kaviar und Kaviarersatz, aus Fischeiern gewonnen: Fische, ganz oder in Stücken, jedoch nicht fein zerkleinert: andere: Fische der Gattung Euthynnus, andere als echter Bonito (Euthynnus (Katsuwonus) pelamis): andere</t>
  </si>
  <si>
    <t>Fische der Art Orcynopsis unicolor</t>
  </si>
  <si>
    <t>KAPITEL 16 - ZUBEREITUNGEN VON FLEISCH, FISCHEN, KREBSTIEREN, WEICHTIEREN, ANDEREN WIRBELLOSEN WASSERTIEREN ODER VON INSEKTEN: Fische, zubereitet oder haltbar gemacht; Kaviar und Kaviarersatz, aus Fischeiern gewonnen: Fische, ganz oder in Stücken, jedoch nicht fein zerkleinert: andere: Fische der Art Orcynopsis unicolor</t>
  </si>
  <si>
    <t>KAPITEL 16 - ZUBEREITUNGEN VON FLEISCH, FISCHEN ODER VON KREBSTIEREN, WEICHTIEREN UND ANDEREN WIRBELLOSEN WASSERTIEREN: Fische, zubereitet oder haltbar gemacht; Kaviar und Kaviarersatz, aus Fischeiern gewonnen: Fische, ganz oder in Stücken, jedoch nicht fein zerkleinert: andere: Fische der Art Orcynopsis unicolor</t>
  </si>
  <si>
    <t>KAPITEL 16 - ZUBEREITUNGEN VON FLEISCH, FISCHEN, KREBSTIEREN, WEICHTIEREN, ANDEREN WIRBELLOSEN WASSERTIEREN ODER VON INSEKTEN: Fische, zubereitet oder haltbar gemacht; Kaviar und Kaviarersatz, aus Fischeiern gewonnen: Fische, ganz oder in Stücken, jedoch nicht fein zerkleinert: andere: andere: Filets, roh, lediglich mit Teig umhüllt oder mit Paniermehl bestreut (paniert), auch in Öl vorgebacken, gefroren</t>
  </si>
  <si>
    <t>KAPITEL 16 - ZUBEREITUNGEN VON FLEISCH, FISCHEN ODER VON KREBSTIEREN, WEICHTIEREN UND ANDEREN WIRBELLOSEN WASSERTIEREN: Fische, zubereitet oder haltbar gemacht; Kaviar und Kaviarersatz, aus Fischeiern gewonnen: Fische, ganz oder in Stücken, jedoch nicht fein zerkleinert: andere: andere: Filets, roh, lediglich mit Teig umhüllt oder mit Paniermehl bestreut (paniert), auch in Öl vorgebacken, gefroren</t>
  </si>
  <si>
    <t>KAPITEL 16 - ZUBEREITUNGEN VON FLEISCH, FISCHEN, KREBSTIEREN, WEICHTIEREN, ANDEREN WIRBELLOSEN WASSERTIEREN ODER VON INSEKTEN: Fische, zubereitet oder haltbar gemacht; Kaviar und Kaviarersatz, aus Fischeiern gewonnen: Fische, ganz oder in Stücken, jedoch nicht fein zerkleinert: andere: andere: andere: Kabeljau (Gadus morhua, Gadus ogac, Gadus macrocephalus)</t>
  </si>
  <si>
    <t>KAPITEL 16 - ZUBEREITUNGEN VON FLEISCH, FISCHEN ODER VON KREBSTIEREN, WEICHTIEREN UND ANDEREN WIRBELLOSEN WASSERTIEREN: Fische, zubereitet oder haltbar gemacht; Kaviar und Kaviarersatz, aus Fischeiern gewonnen: Fische, ganz oder in Stücken, jedoch nicht fein zerkleinert: andere: andere: andere: Kabeljau (Gadus morhua, Gadus ogac, Gadus macrocephalus)</t>
  </si>
  <si>
    <t>Köhler (Pollachius virens)</t>
  </si>
  <si>
    <t>KAPITEL 16 - ZUBEREITUNGEN VON FLEISCH, FISCHEN, KREBSTIEREN, WEICHTIEREN, ANDEREN WIRBELLOSEN WASSERTIEREN ODER VON INSEKTEN: Fische, zubereitet oder haltbar gemacht; Kaviar und Kaviarersatz, aus Fischeiern gewonnen: Fische, ganz oder in Stücken, jedoch nicht fein zerkleinert: andere: andere: andere: Köhler (Pollachius virens)</t>
  </si>
  <si>
    <t>KAPITEL 16 - ZUBEREITUNGEN VON FLEISCH, FISCHEN ODER VON KREBSTIEREN, WEICHTIEREN UND ANDEREN WIRBELLOSEN WASSERTIEREN: Fische, zubereitet oder haltbar gemacht; Kaviar und Kaviarersatz, aus Fischeiern gewonnen: Fische, ganz oder in Stücken, jedoch nicht fein zerkleinert: andere: andere: andere: Köhler (Pollachius virens)</t>
  </si>
  <si>
    <t>Seehechte (Merluccius spp., Urophycis spp.)</t>
  </si>
  <si>
    <t>KAPITEL 16 - ZUBEREITUNGEN VON FLEISCH, FISCHEN, KREBSTIEREN, WEICHTIEREN, ANDEREN WIRBELLOSEN WASSERTIEREN ODER VON INSEKTEN: Fische, zubereitet oder haltbar gemacht; Kaviar und Kaviarersatz, aus Fischeiern gewonnen: Fische, ganz oder in Stücken, jedoch nicht fein zerkleinert: andere: andere: andere: Seehechte (Merluccius spp., Urophycis spp.)</t>
  </si>
  <si>
    <t>KAPITEL 16 - ZUBEREITUNGEN VON FLEISCH, FISCHEN ODER VON KREBSTIEREN, WEICHTIEREN UND ANDEREN WIRBELLOSEN WASSERTIEREN: Fische, zubereitet oder haltbar gemacht; Kaviar und Kaviarersatz, aus Fischeiern gewonnen: Fische, ganz oder in Stücken, jedoch nicht fein zerkleinert: andere: andere: andere: Seehechte (Merluccius spp., Urophycis spp.)</t>
  </si>
  <si>
    <t>Pazifischer Pollack (Theragra chalcogramma) und Pollack (Pollachius pollachius)</t>
  </si>
  <si>
    <t>KAPITEL 16 - ZUBEREITUNGEN VON FLEISCH, FISCHEN, KREBSTIEREN, WEICHTIEREN, ANDEREN WIRBELLOSEN WASSERTIEREN ODER VON INSEKTEN: Fische, zubereitet oder haltbar gemacht; Kaviar und Kaviarersatz, aus Fischeiern gewonnen: Fische, ganz oder in Stücken, jedoch nicht fein zerkleinert: andere: andere: andere: Pazifischer Pollack (Theragra chalcogramma) und Pollack (Pollachius pollachius)</t>
  </si>
  <si>
    <t>KAPITEL 16 - ZUBEREITUNGEN VON FLEISCH, FISCHEN ODER VON KREBSTIEREN, WEICHTIEREN UND ANDEREN WIRBELLOSEN WASSERTIEREN: Fische, zubereitet oder haltbar gemacht; Kaviar und Kaviarersatz, aus Fischeiern gewonnen: Fische, ganz oder in Stücken, jedoch nicht fein zerkleinert: andere: andere: andere: Pazifischer Pollack (Theragra chalcogramma) und Pollack (Pollachius pollachius)</t>
  </si>
  <si>
    <t>KAPITEL 16 - ZUBEREITUNGEN VON FLEISCH, FISCHEN, KREBSTIEREN, WEICHTIEREN, ANDEREN WIRBELLOSEN WASSERTIEREN ODER VON INSEKTEN: Fische, zubereitet oder haltbar gemacht; Kaviar und Kaviarersatz, aus Fischeiern gewonnen: Fische, ganz oder in Stücken, jedoch nicht fein zerkleinert: andere: andere: andere: andere</t>
  </si>
  <si>
    <t>KAPITEL 16 - ZUBEREITUNGEN VON FLEISCH, FISCHEN ODER VON KREBSTIEREN, WEICHTIEREN UND ANDEREN WIRBELLOSEN WASSERTIEREN: Fische, zubereitet oder haltbar gemacht; Kaviar und Kaviarersatz, aus Fischeiern gewonnen: Fische, ganz oder in Stücken, jedoch nicht fein zerkleinert: andere: andere: andere: andere</t>
  </si>
  <si>
    <t>Surimizubereitungen</t>
  </si>
  <si>
    <t>KAPITEL 16 - ZUBEREITUNGEN VON FLEISCH, FISCHEN, KREBSTIEREN, WEICHTIEREN, ANDEREN WIRBELLOSEN WASSERTIEREN ODER VON INSEKTEN: Fische, zubereitet oder haltbar gemacht; Kaviar und Kaviarersatz, aus Fischeiern gewonnen: Fische, in anderer Weise zubereitet oder haltbar gemacht: Surimizubereitungen</t>
  </si>
  <si>
    <t>KAPITEL 16 - ZUBEREITUNGEN VON FLEISCH, FISCHEN ODER VON KREBSTIEREN, WEICHTIEREN UND ANDEREN WIRBELLOSEN WASSERTIEREN: Fische, zubereitet oder haltbar gemacht; Kaviar und Kaviarersatz, aus Fischeiern gewonnen: Fische, in anderer Weise zubereitet oder haltbar gemacht: Surimizubereitungen</t>
  </si>
  <si>
    <t>KAPITEL 16 - ZUBEREITUNGEN VON FLEISCH, FISCHEN, KREBSTIEREN, WEICHTIEREN, ANDEREN WIRBELLOSEN WASSERTIEREN ODER VON INSEKTEN: Fische, zubereitet oder haltbar gemacht; Kaviar und Kaviarersatz, aus Fischeiern gewonnen: Fische, in anderer Weise zubereitet oder haltbar gemacht: andere: Lachse</t>
  </si>
  <si>
    <t>KAPITEL 16 - ZUBEREITUNGEN VON FLEISCH, FISCHEN ODER VON KREBSTIEREN, WEICHTIEREN UND ANDEREN WIRBELLOSEN WASSERTIEREN: Fische, zubereitet oder haltbar gemacht; Kaviar und Kaviarersatz, aus Fischeiern gewonnen: Fische, in anderer Weise zubereitet oder haltbar gemacht: andere: Lachse</t>
  </si>
  <si>
    <t>KAPITEL 16 - ZUBEREITUNGEN VON FLEISCH, FISCHEN, KREBSTIEREN, WEICHTIEREN, ANDEREN WIRBELLOSEN WASSERTIEREN ODER VON INSEKTEN: Fische, zubereitet oder haltbar gemacht; Kaviar und Kaviarersatz, aus Fischeiern gewonnen: Fische, in anderer Weise zubereitet oder haltbar gemacht: andere: Salmoniden, ausgenommen Lachse</t>
  </si>
  <si>
    <t>KAPITEL 16 - ZUBEREITUNGEN VON FLEISCH, FISCHEN ODER VON KREBSTIEREN, WEICHTIEREN UND ANDEREN WIRBELLOSEN WASSERTIEREN: Fische, zubereitet oder haltbar gemacht; Kaviar und Kaviarersatz, aus Fischeiern gewonnen: Fische, in anderer Weise zubereitet oder haltbar gemacht: andere: Salmoniden, ausgenommen Lachse</t>
  </si>
  <si>
    <t>KAPITEL 16 - ZUBEREITUNGEN VON FLEISCH, FISCHEN, KREBSTIEREN, WEICHTIEREN, ANDEREN WIRBELLOSEN WASSERTIEREN ODER VON INSEKTEN: Fische, zubereitet oder haltbar gemacht; Kaviar und Kaviarersatz, aus Fischeiern gewonnen: Fische, in anderer Weise zubereitet oder haltbar gemacht: andere: Sardellen</t>
  </si>
  <si>
    <t>KAPITEL 16 - ZUBEREITUNGEN VON FLEISCH, FISCHEN ODER VON KREBSTIEREN, WEICHTIEREN UND ANDEREN WIRBELLOSEN WASSERTIEREN: Fische, zubereitet oder haltbar gemacht; Kaviar und Kaviarersatz, aus Fischeiern gewonnen: Fische, in anderer Weise zubereitet oder haltbar gemacht: andere: Sardellen</t>
  </si>
  <si>
    <t>Sardinen, Boniten, Makrelen der Arten Scomber scombrus und Scomber japonicus, Fische der Art Orcynopsis unicolor</t>
  </si>
  <si>
    <t>KAPITEL 16 - ZUBEREITUNGEN VON FLEISCH, FISCHEN, KREBSTIEREN, WEICHTIEREN, ANDEREN WIRBELLOSEN WASSERTIEREN ODER VON INSEKTEN: Fische, zubereitet oder haltbar gemacht; Kaviar und Kaviarersatz, aus Fischeiern gewonnen: Fische, in anderer Weise zubereitet oder haltbar gemacht: andere: Sardinen, Boniten, Makrelen der Arten Scomber scombrus und Scomber japonicus, Fische der Art Orcynopsis unicolor</t>
  </si>
  <si>
    <t>KAPITEL 16 - ZUBEREITUNGEN VON FLEISCH, FISCHEN ODER VON KREBSTIEREN, WEICHTIEREN UND ANDEREN WIRBELLOSEN WASSERTIEREN: Fische, zubereitet oder haltbar gemacht; Kaviar und Kaviarersatz, aus Fischeiern gewonnen: Fische, in anderer Weise zubereitet oder haltbar gemacht: andere: Sardinen, Boniten, Makrelen der Arten Scomber scombrus und Scomber japonicus, Fische der Art Orcynopsis unicolor</t>
  </si>
  <si>
    <t>Thunfische, echter Bonito und andere Fische der Gattung Euthynnus</t>
  </si>
  <si>
    <t>KAPITEL 16 - ZUBEREITUNGEN VON FLEISCH, FISCHEN, KREBSTIEREN, WEICHTIEREN, ANDEREN WIRBELLOSEN WASSERTIEREN ODER VON INSEKTEN: Fische, zubereitet oder haltbar gemacht; Kaviar und Kaviarersatz, aus Fischeiern gewonnen: Fische, in anderer Weise zubereitet oder haltbar gemacht: andere: Thunfische, echter Bonito und andere Fische der Gattung Euthynnus</t>
  </si>
  <si>
    <t>KAPITEL 16 - ZUBEREITUNGEN VON FLEISCH, FISCHEN ODER VON KREBSTIEREN, WEICHTIEREN UND ANDEREN WIRBELLOSEN WASSERTIEREN: Fische, zubereitet oder haltbar gemacht; Kaviar und Kaviarersatz, aus Fischeiern gewonnen: Fische, in anderer Weise zubereitet oder haltbar gemacht: andere: Thunfische, echter Bonito und andere Fische der Gattung Euthynnus</t>
  </si>
  <si>
    <t>KAPITEL 16 - ZUBEREITUNGEN VON FLEISCH, FISCHEN, KREBSTIEREN, WEICHTIEREN, ANDEREN WIRBELLOSEN WASSERTIEREN ODER VON INSEKTEN: Fische, zubereitet oder haltbar gemacht; Kaviar und Kaviarersatz, aus Fischeiern gewonnen: Fische, in anderer Weise zubereitet oder haltbar gemacht: andere: andere</t>
  </si>
  <si>
    <t>KAPITEL 16 - ZUBEREITUNGEN VON FLEISCH, FISCHEN ODER VON KREBSTIEREN, WEICHTIEREN UND ANDEREN WIRBELLOSEN WASSERTIEREN: Fische, zubereitet oder haltbar gemacht; Kaviar und Kaviarersatz, aus Fischeiern gewonnen: Fische, in anderer Weise zubereitet oder haltbar gemacht: andere: andere</t>
  </si>
  <si>
    <t>Kaviar</t>
  </si>
  <si>
    <t>KAPITEL 16 - ZUBEREITUNGEN VON FLEISCH, FISCHEN, KREBSTIEREN, WEICHTIEREN, ANDEREN WIRBELLOSEN WASSERTIEREN ODER VON INSEKTEN: Fische, zubereitet oder haltbar gemacht; Kaviar und Kaviarersatz, aus Fischeiern gewonnen: Kaviar und Kaviarersatz: Kaviar</t>
  </si>
  <si>
    <t>KAPITEL 16 - ZUBEREITUNGEN VON FLEISCH, FISCHEN ODER VON KREBSTIEREN, WEICHTIEREN UND ANDEREN WIRBELLOSEN WASSERTIEREN: Fische, zubereitet oder haltbar gemacht; Kaviar und Kaviarersatz, aus Fischeiern gewonnen: Kaviar und Kaviarersatz: Kaviar</t>
  </si>
  <si>
    <t>Kaviarersatz</t>
  </si>
  <si>
    <t>KAPITEL 16 - ZUBEREITUNGEN VON FLEISCH, FISCHEN, KREBSTIEREN, WEICHTIEREN, ANDEREN WIRBELLOSEN WASSERTIEREN ODER VON INSEKTEN: Fische, zubereitet oder haltbar gemacht; Kaviar und Kaviarersatz, aus Fischeiern gewonnen: Kaviar und Kaviarersatz: Kaviarersatz</t>
  </si>
  <si>
    <t>KAPITEL 16 - ZUBEREITUNGEN VON FLEISCH, FISCHEN ODER VON KREBSTIEREN, WEICHTIEREN UND ANDEREN WIRBELLOSEN WASSERTIEREN: Fische, zubereitet oder haltbar gemacht; Kaviar und Kaviarersatz, aus Fischeiern gewonnen: Kaviar und Kaviarersatz: Kaviarersatz</t>
  </si>
  <si>
    <t>Krabben</t>
  </si>
  <si>
    <t>KAPITEL 16 - ZUBEREITUNGEN VON FLEISCH, FISCHEN, KREBSTIEREN, WEICHTIEREN, ANDEREN WIRBELLOSEN WASSERTIEREN ODER VON INSEKTEN: Krebstiere, Weichtiere und andere wirbellose Wassertiere, zubereitet oder haltbar gemacht: Krabben</t>
  </si>
  <si>
    <t>KAPITEL 16 - ZUBEREITUNGEN VON FLEISCH, FISCHEN ODER VON KREBSTIEREN, WEICHTIEREN UND ANDEREN WIRBELLOSEN WASSERTIEREN: Krebstiere, Weichtiere und andere wirbellose Wassertiere, zubereitet oder haltbar gemacht: Krabben</t>
  </si>
  <si>
    <t>in unmittelbaren Umschließungen mit einem Gewicht des Inhalts von 2 kg oder weniger</t>
  </si>
  <si>
    <t>KAPITEL 16 - ZUBEREITUNGEN VON FLEISCH, FISCHEN, KREBSTIEREN, WEICHTIEREN, ANDEREN WIRBELLOSEN WASSERTIEREN ODER VON INSEKTEN: Krebstiere, Weichtiere und andere wirbellose Wassertiere, zubereitet oder haltbar gemacht: Garnelen: nicht in luftdichten Behältnissen: in unmittelbaren Umschließungen mit einem Gewicht des Inhalts von 2 kg oder weniger</t>
  </si>
  <si>
    <t>KAPITEL 16 - ZUBEREITUNGEN VON FLEISCH, FISCHEN ODER VON KREBSTIEREN, WEICHTIEREN UND ANDEREN WIRBELLOSEN WASSERTIEREN: Krebstiere, Weichtiere und andere wirbellose Wassertiere, zubereitet oder haltbar gemacht: Garnelen: nicht in luftdichten Behältnissen: in unmittelbaren Umschließungen mit einem Gewicht des Inhalts von 2 kg oder weniger</t>
  </si>
  <si>
    <t>KAPITEL 16 - ZUBEREITUNGEN VON FLEISCH, FISCHEN, KREBSTIEREN, WEICHTIEREN, ANDEREN WIRBELLOSEN WASSERTIEREN ODER VON INSEKTEN: Krebstiere, Weichtiere und andere wirbellose Wassertiere, zubereitet oder haltbar gemacht: Garnelen: nicht in luftdichten Behältnissen: andere</t>
  </si>
  <si>
    <t>KAPITEL 16 - ZUBEREITUNGEN VON FLEISCH, FISCHEN ODER VON KREBSTIEREN, WEICHTIEREN UND ANDEREN WIRBELLOSEN WASSERTIEREN: Krebstiere, Weichtiere und andere wirbellose Wassertiere, zubereitet oder haltbar gemacht: Garnelen: nicht in luftdichten Behältnissen: andere</t>
  </si>
  <si>
    <t>KAPITEL 16 - ZUBEREITUNGEN VON FLEISCH, FISCHEN, KREBSTIEREN, WEICHTIEREN, ANDEREN WIRBELLOSEN WASSERTIEREN ODER VON INSEKTEN: Krebstiere, Weichtiere und andere wirbellose Wassertiere, zubereitet oder haltbar gemacht: Garnelen: andere</t>
  </si>
  <si>
    <t>KAPITEL 16 - ZUBEREITUNGEN VON FLEISCH, FISCHEN ODER VON KREBSTIEREN, WEICHTIEREN UND ANDEREN WIRBELLOSEN WASSERTIEREN: Krebstiere, Weichtiere und andere wirbellose Wassertiere, zubereitet oder haltbar gemacht: Garnelen: andere</t>
  </si>
  <si>
    <t>Hummerfleisch, gekocht, zum Herstellen von Hummerbutter, -pasten, -suppen oder -soßen</t>
  </si>
  <si>
    <t>KAPITEL 16 - ZUBEREITUNGEN VON FLEISCH, FISCHEN, KREBSTIEREN, WEICHTIEREN, ANDEREN WIRBELLOSEN WASSERTIEREN ODER VON INSEKTEN: Krebstiere, Weichtiere und andere wirbellose Wassertiere, zubereitet oder haltbar gemacht: Hummer: Hummerfleisch, gekocht, zum Herstellen von Hummerbutter, -pasten, -suppen oder -soßen</t>
  </si>
  <si>
    <t>KAPITEL 16 - ZUBEREITUNGEN VON FLEISCH, FISCHEN ODER VON KREBSTIEREN, WEICHTIEREN UND ANDEREN WIRBELLOSEN WASSERTIEREN: Krebstiere, Weichtiere und andere wirbellose Wassertiere, zubereitet oder haltbar gemacht: Hummer: Hummerfleisch, gekocht, zum Herstellen von Hummerbutter, -pasten, -suppen oder -soßen</t>
  </si>
  <si>
    <t>KAPITEL 16 - ZUBEREITUNGEN VON FLEISCH, FISCHEN, KREBSTIEREN, WEICHTIEREN, ANDEREN WIRBELLOSEN WASSERTIEREN ODER VON INSEKTEN: Krebstiere, Weichtiere und andere wirbellose Wassertiere, zubereitet oder haltbar gemacht: Hummer: andere</t>
  </si>
  <si>
    <t>KAPITEL 16 - ZUBEREITUNGEN VON FLEISCH, FISCHEN ODER VON KREBSTIEREN, WEICHTIEREN UND ANDEREN WIRBELLOSEN WASSERTIEREN: Krebstiere, Weichtiere und andere wirbellose Wassertiere, zubereitet oder haltbar gemacht: Hummer: andere</t>
  </si>
  <si>
    <t>andere Krebstiere</t>
  </si>
  <si>
    <t>KAPITEL 16 - ZUBEREITUNGEN VON FLEISCH, FISCHEN, KREBSTIEREN, WEICHTIEREN, ANDEREN WIRBELLOSEN WASSERTIEREN ODER VON INSEKTEN: Krebstiere, Weichtiere und andere wirbellose Wassertiere, zubereitet oder haltbar gemacht: andere Krebstiere</t>
  </si>
  <si>
    <t>KAPITEL 16 - ZUBEREITUNGEN VON FLEISCH, FISCHEN ODER VON KREBSTIEREN, WEICHTIEREN UND ANDEREN WIRBELLOSEN WASSERTIEREN: Krebstiere, Weichtiere und andere wirbellose Wassertiere, zubereitet oder haltbar gemacht: andere Krebstiere</t>
  </si>
  <si>
    <t>Austern</t>
  </si>
  <si>
    <t>KAPITEL 16 - ZUBEREITUNGEN VON FLEISCH, FISCHEN, KREBSTIEREN, WEICHTIEREN, ANDEREN WIRBELLOSEN WASSERTIEREN ODER VON INSEKTEN: Krebstiere, Weichtiere und andere wirbellose Wassertiere, zubereitet oder haltbar gemacht: Weichtiere: Austern</t>
  </si>
  <si>
    <t>KAPITEL 16 - ZUBEREITUNGEN VON FLEISCH, FISCHEN ODER VON KREBSTIEREN, WEICHTIEREN UND ANDEREN WIRBELLOSEN WASSERTIEREN: Krebstiere, Weichtiere und andere wirbellose Wassertiere, zubereitet oder haltbar gemacht: Weichtiere: Austern</t>
  </si>
  <si>
    <t>Jakobs- oder Kammmuscheln</t>
  </si>
  <si>
    <t>KAPITEL 16 - ZUBEREITUNGEN VON FLEISCH, FISCHEN, KREBSTIEREN, WEICHTIEREN, ANDEREN WIRBELLOSEN WASSERTIEREN ODER VON INSEKTEN: Krebstiere, Weichtiere und andere wirbellose Wassertiere, zubereitet oder haltbar gemacht: Weichtiere: Jakobs- oder Kammmuscheln</t>
  </si>
  <si>
    <t>KAPITEL 16 - ZUBEREITUNGEN VON FLEISCH, FISCHEN ODER VON KREBSTIEREN, WEICHTIEREN UND ANDEREN WIRBELLOSEN WASSERTIEREN: Krebstiere, Weichtiere und andere wirbellose Wassertiere, zubereitet oder haltbar gemacht: Weichtiere: Jakobs- oder Kammmuscheln</t>
  </si>
  <si>
    <t>KAPITEL 16 - ZUBEREITUNGEN VON FLEISCH, FISCHEN, KREBSTIEREN, WEICHTIEREN, ANDEREN WIRBELLOSEN WASSERTIEREN ODER VON INSEKTEN: Krebstiere, Weichtiere und andere wirbellose Wassertiere, zubereitet oder haltbar gemacht: Weichtiere: Miesmuscheln: in luftdicht verschlossenen Behältnissen</t>
  </si>
  <si>
    <t>KAPITEL 16 - ZUBEREITUNGEN VON FLEISCH, FISCHEN ODER VON KREBSTIEREN, WEICHTIEREN UND ANDEREN WIRBELLOSEN WASSERTIEREN: Krebstiere, Weichtiere und andere wirbellose Wassertiere, zubereitet oder haltbar gemacht: Weichtiere: Miesmuscheln: in luftdicht verschlossenen Behältnissen</t>
  </si>
  <si>
    <t>KAPITEL 16 - ZUBEREITUNGEN VON FLEISCH, FISCHEN, KREBSTIEREN, WEICHTIEREN, ANDEREN WIRBELLOSEN WASSERTIEREN ODER VON INSEKTEN: Krebstiere, Weichtiere und andere wirbellose Wassertiere, zubereitet oder haltbar gemacht: Weichtiere: Miesmuscheln: andere</t>
  </si>
  <si>
    <t>KAPITEL 16 - ZUBEREITUNGEN VON FLEISCH, FISCHEN ODER VON KREBSTIEREN, WEICHTIEREN UND ANDEREN WIRBELLOSEN WASSERTIEREN: Krebstiere, Weichtiere und andere wirbellose Wassertiere, zubereitet oder haltbar gemacht: Weichtiere: Miesmuscheln: andere</t>
  </si>
  <si>
    <t>Tintenfische und Kalmare</t>
  </si>
  <si>
    <t>KAPITEL 16 - ZUBEREITUNGEN VON FLEISCH, FISCHEN, KREBSTIEREN, WEICHTIEREN, ANDEREN WIRBELLOSEN WASSERTIEREN ODER VON INSEKTEN: Krebstiere, Weichtiere und andere wirbellose Wassertiere, zubereitet oder haltbar gemacht: Weichtiere: Tintenfische und Kalmare</t>
  </si>
  <si>
    <t>KAPITEL 16 - ZUBEREITUNGEN VON FLEISCH, FISCHEN ODER VON KREBSTIEREN, WEICHTIEREN UND ANDEREN WIRBELLOSEN WASSERTIEREN: Krebstiere, Weichtiere und andere wirbellose Wassertiere, zubereitet oder haltbar gemacht: Weichtiere: Tintenfische und Kalmare</t>
  </si>
  <si>
    <t>Kraken</t>
  </si>
  <si>
    <t>KAPITEL 16 - ZUBEREITUNGEN VON FLEISCH, FISCHEN, KREBSTIEREN, WEICHTIEREN, ANDEREN WIRBELLOSEN WASSERTIEREN ODER VON INSEKTEN: Krebstiere, Weichtiere und andere wirbellose Wassertiere, zubereitet oder haltbar gemacht: Weichtiere: Kraken</t>
  </si>
  <si>
    <t>KAPITEL 16 - ZUBEREITUNGEN VON FLEISCH, FISCHEN ODER VON KREBSTIEREN, WEICHTIEREN UND ANDEREN WIRBELLOSEN WASSERTIEREN: Krebstiere, Weichtiere und andere wirbellose Wassertiere, zubereitet oder haltbar gemacht: Weichtiere: Kraken</t>
  </si>
  <si>
    <t>Venusmuscheln, Herzmuscheln und Archenmuscheln</t>
  </si>
  <si>
    <t>KAPITEL 16 - ZUBEREITUNGEN VON FLEISCH, FISCHEN, KREBSTIEREN, WEICHTIEREN, ANDEREN WIRBELLOSEN WASSERTIEREN ODER VON INSEKTEN: Krebstiere, Weichtiere und andere wirbellose Wassertiere, zubereitet oder haltbar gemacht: Weichtiere: Venusmuscheln, Herzmuscheln und Archenmuscheln</t>
  </si>
  <si>
    <t>KAPITEL 16 - ZUBEREITUNGEN VON FLEISCH, FISCHEN ODER VON KREBSTIEREN, WEICHTIEREN UND ANDEREN WIRBELLOSEN WASSERTIEREN: Krebstiere, Weichtiere und andere wirbellose Wassertiere, zubereitet oder haltbar gemacht: Weichtiere: Venusmuscheln, Herzmuscheln und Archenmuscheln</t>
  </si>
  <si>
    <t>Seeohren</t>
  </si>
  <si>
    <t>KAPITEL 16 - ZUBEREITUNGEN VON FLEISCH, FISCHEN, KREBSTIEREN, WEICHTIEREN, ANDEREN WIRBELLOSEN WASSERTIEREN ODER VON INSEKTEN: Krebstiere, Weichtiere und andere wirbellose Wassertiere, zubereitet oder haltbar gemacht: Weichtiere: Seeohren</t>
  </si>
  <si>
    <t>KAPITEL 16 - ZUBEREITUNGEN VON FLEISCH, FISCHEN ODER VON KREBSTIEREN, WEICHTIEREN UND ANDEREN WIRBELLOSEN WASSERTIEREN: Krebstiere, Weichtiere und andere wirbellose Wassertiere, zubereitet oder haltbar gemacht: Weichtiere: Seeohren</t>
  </si>
  <si>
    <t>Schnecken, andere als Meeresschnecken</t>
  </si>
  <si>
    <t>KAPITEL 16 - ZUBEREITUNGEN VON FLEISCH, FISCHEN, KREBSTIEREN, WEICHTIEREN, ANDEREN WIRBELLOSEN WASSERTIEREN ODER VON INSEKTEN: Krebstiere, Weichtiere und andere wirbellose Wassertiere, zubereitet oder haltbar gemacht: Weichtiere: Schnecken, andere als Meeresschnecken</t>
  </si>
  <si>
    <t>KAPITEL 16 - ZUBEREITUNGEN VON FLEISCH, FISCHEN ODER VON KREBSTIEREN, WEICHTIEREN UND ANDEREN WIRBELLOSEN WASSERTIEREN: Krebstiere, Weichtiere und andere wirbellose Wassertiere, zubereitet oder haltbar gemacht: Weichtiere: Schnecken, andere als Meeresschnecken</t>
  </si>
  <si>
    <t>KAPITEL 16 - ZUBEREITUNGEN VON FLEISCH, FISCHEN, KREBSTIEREN, WEICHTIEREN, ANDEREN WIRBELLOSEN WASSERTIEREN ODER VON INSEKTEN: Krebstiere, Weichtiere und andere wirbellose Wassertiere, zubereitet oder haltbar gemacht: Weichtiere: andere</t>
  </si>
  <si>
    <t>KAPITEL 16 - ZUBEREITUNGEN VON FLEISCH, FISCHEN ODER VON KREBSTIEREN, WEICHTIEREN UND ANDEREN WIRBELLOSEN WASSERTIEREN: Krebstiere, Weichtiere und andere wirbellose Wassertiere, zubereitet oder haltbar gemacht: Weichtiere: andere</t>
  </si>
  <si>
    <t>Seegurken</t>
  </si>
  <si>
    <t>KAPITEL 16 - ZUBEREITUNGEN VON FLEISCH, FISCHEN, KREBSTIEREN, WEICHTIEREN, ANDEREN WIRBELLOSEN WASSERTIEREN ODER VON INSEKTEN: Krebstiere, Weichtiere und andere wirbellose Wassertiere, zubereitet oder haltbar gemacht: andere wirbellose Wassertiere: Seegurken</t>
  </si>
  <si>
    <t>KAPITEL 16 - ZUBEREITUNGEN VON FLEISCH, FISCHEN ODER VON KREBSTIEREN, WEICHTIEREN UND ANDEREN WIRBELLOSEN WASSERTIEREN: Krebstiere, Weichtiere und andere wirbellose Wassertiere, zubereitet oder haltbar gemacht: andere wirbellose Wassertiere: Seegurken</t>
  </si>
  <si>
    <t>Seeigel</t>
  </si>
  <si>
    <t>KAPITEL 16 - ZUBEREITUNGEN VON FLEISCH, FISCHEN, KREBSTIEREN, WEICHTIEREN, ANDEREN WIRBELLOSEN WASSERTIEREN ODER VON INSEKTEN: Krebstiere, Weichtiere und andere wirbellose Wassertiere, zubereitet oder haltbar gemacht: andere wirbellose Wassertiere: Seeigel</t>
  </si>
  <si>
    <t>KAPITEL 16 - ZUBEREITUNGEN VON FLEISCH, FISCHEN ODER VON KREBSTIEREN, WEICHTIEREN UND ANDEREN WIRBELLOSEN WASSERTIEREN: Krebstiere, Weichtiere und andere wirbellose Wassertiere, zubereitet oder haltbar gemacht: andere wirbellose Wassertiere: Seeigel</t>
  </si>
  <si>
    <t>Quallen</t>
  </si>
  <si>
    <t>KAPITEL 16 - ZUBEREITUNGEN VON FLEISCH, FISCHEN, KREBSTIEREN, WEICHTIEREN, ANDEREN WIRBELLOSEN WASSERTIEREN ODER VON INSEKTEN: Krebstiere, Weichtiere und andere wirbellose Wassertiere, zubereitet oder haltbar gemacht: andere wirbellose Wassertiere: Quallen</t>
  </si>
  <si>
    <t>KAPITEL 16 - ZUBEREITUNGEN VON FLEISCH, FISCHEN ODER VON KREBSTIEREN, WEICHTIEREN UND ANDEREN WIRBELLOSEN WASSERTIEREN: Krebstiere, Weichtiere und andere wirbellose Wassertiere, zubereitet oder haltbar gemacht: andere wirbellose Wassertiere: Quallen</t>
  </si>
  <si>
    <t>KAPITEL 16 - ZUBEREITUNGEN VON FLEISCH, FISCHEN, KREBSTIEREN, WEICHTIEREN, ANDEREN WIRBELLOSEN WASSERTIEREN ODER VON INSEKTEN: Krebstiere, Weichtiere und andere wirbellose Wassertiere, zubereitet oder haltbar gemacht: andere wirbellose Wassertiere: andere</t>
  </si>
  <si>
    <t>KAPITEL 16 - ZUBEREITUNGEN VON FLEISCH, FISCHEN ODER VON KREBSTIEREN, WEICHTIEREN UND ANDEREN WIRBELLOSEN WASSERTIEREN: Krebstiere, Weichtiere und andere wirbellose Wassertiere, zubereitet oder haltbar gemacht: andere wirbellose Wassertiere: andere</t>
  </si>
  <si>
    <t>mit einem vorhandenen Alkoholgehalt von 11,85 % mas oder weniger</t>
  </si>
  <si>
    <t>KAPITEL 20 - ZUBEREITUNGEN VON GEMÜSE, FRÜCHTEN, NÜSSEN ODER ANDEREN PFLANZENTEILEN: Früchte, Nüsse und andere genießbare Pflanzenteile, in anderer Weise zubereitet oder haltbar gemacht, auch mit Zusatz von Zucker, anderen Süßmitteln oder Alkohol, anderweit weder genannt noch inbegriffen: andere, einschließlich Mischungen, ausgenommen Mischungen der Unterposition 200819: Preiselbeeren (Vaccinium macrocarpon, Vaccinium oxycoccos); Moosbeeren (Vaccinium vitis-idaea): mit Zusatz von Alkohol: mit einem Zuckergehalt von mehr als 9 GHT: mit einem vorhandenen Alkoholgehalt von 11,85 % mas oder weniger</t>
  </si>
  <si>
    <t>KAPITEL 20 - ZUBEREITUNGEN VON GEMÜSE, FRÜCHTEN, NÜSSEN ODER ANDEREN PFLANZENTEILEN: Früchte, Nüsse und andere genießbare Pflanzenteile, in anderer Weise zubereitet oder haltbar gemacht, auch mit Zusatz von Zucker, anderen Süßmitteln oder Alkohol, anderweit weder genannt noch inbegriffen: andere, einschließlich Mischungen, ausgenommen Mischungen der Unterposition 200819: Preiselbeeren und Moosbeeren (Vaccinium macrocarpon, Vaccinium oxycoccos, Vaccinium vitis-idaea): mit Zusatz von Alkohol: mit einem Zuckergehalt von mehr als 9 GHT: mit einem vorhandenen Alkoholgehalt von 11,85 % mas oder weniger</t>
  </si>
  <si>
    <t>KAPITEL 20 - ZUBEREITUNGEN VON GEMÜSE, FRÜCHTEN, NÜSSEN ODER ANDEREN PFLANZENTEILEN: Früchte, Nüsse und andere genießbare Pflanzenteile, in anderer Weise zubereitet oder haltbar gemacht, auch mit Zusatz von Zucker, anderen Süßmitteln oder Alkohol, anderweit weder genannt noch inbegriffen: andere, einschließlich Mischungen, ausgenommen Mischungen der Unterposition 200819: Preiselbeeren (Vaccinium macrocarpon, Vaccinium oxycoccos); Moosbeeren (Vaccinium vitis-idaea): mit Zusatz von Alkohol: mit einem Zuckergehalt von mehr als 9 GHT: andere</t>
  </si>
  <si>
    <t>KAPITEL 20 - ZUBEREITUNGEN VON GEMÜSE, FRÜCHTEN, NÜSSEN ODER ANDEREN PFLANZENTEILEN: Früchte, Nüsse und andere genießbare Pflanzenteile, in anderer Weise zubereitet oder haltbar gemacht, auch mit Zusatz von Zucker, anderen Süßmitteln oder Alkohol, anderweit weder genannt noch inbegriffen: andere, einschließlich Mischungen, ausgenommen Mischungen der Unterposition 200819: Preiselbeeren und Moosbeeren (Vaccinium macrocarpon, Vaccinium oxycoccos, Vaccinium vitis-idaea): mit Zusatz von Alkohol: mit einem Zuckergehalt von mehr als 9 GHT: andere</t>
  </si>
  <si>
    <t>KAPITEL 20 - ZUBEREITUNGEN VON GEMÜSE, FRÜCHTEN, NÜSSEN ODER ANDEREN PFLANZENTEILEN: Früchte, Nüsse und andere genießbare Pflanzenteile, in anderer Weise zubereitet oder haltbar gemacht, auch mit Zusatz von Zucker, anderen Süßmitteln oder Alkohol, anderweit weder genannt noch inbegriffen: andere, einschließlich Mischungen, ausgenommen Mischungen der Unterposition 200819: Preiselbeeren (Vaccinium macrocarpon, Vaccinium oxycoccos); Moosbeeren (Vaccinium vitis-idaea): mit Zusatz von Alkohol: andere: mit einem vorhandenen Alkoholgehalt von 11,85 % mas oder weniger</t>
  </si>
  <si>
    <t>KAPITEL 20 - ZUBEREITUNGEN VON GEMÜSE, FRÜCHTEN, NÜSSEN ODER ANDEREN PFLANZENTEILEN: Früchte, Nüsse und andere genießbare Pflanzenteile, in anderer Weise zubereitet oder haltbar gemacht, auch mit Zusatz von Zucker, anderen Süßmitteln oder Alkohol, anderweit weder genannt noch inbegriffen: andere, einschließlich Mischungen, ausgenommen Mischungen der Unterposition 200819: Preiselbeeren und Moosbeeren (Vaccinium macrocarpon, Vaccinium oxycoccos, Vaccinium vitis-idaea): mit Zusatz von Alkohol: andere: mit einem vorhandenen Alkoholgehalt von 11,85 % mas oder weniger</t>
  </si>
  <si>
    <t>KAPITEL 20 - ZUBEREITUNGEN VON GEMÜSE, FRÜCHTEN, NÜSSEN ODER ANDEREN PFLANZENTEILEN: Früchte, Nüsse und andere genießbare Pflanzenteile, in anderer Weise zubereitet oder haltbar gemacht, auch mit Zusatz von Zucker, anderen Süßmitteln oder Alkohol, anderweit weder genannt noch inbegriffen: andere, einschließlich Mischungen, ausgenommen Mischungen der Unterposition 200819: Preiselbeeren (Vaccinium macrocarpon, Vaccinium oxycoccos); Moosbeeren (Vaccinium vitis-idaea): mit Zusatz von Alkohol: andere: andere</t>
  </si>
  <si>
    <t>KAPITEL 20 - ZUBEREITUNGEN VON GEMÜSE, FRÜCHTEN, NÜSSEN ODER ANDEREN PFLANZENTEILEN: Früchte, Nüsse und andere genießbare Pflanzenteile, in anderer Weise zubereitet oder haltbar gemacht, auch mit Zusatz von Zucker, anderen Süßmitteln oder Alkohol, anderweit weder genannt noch inbegriffen: andere, einschließlich Mischungen, ausgenommen Mischungen der Unterposition 200819: Preiselbeeren und Moosbeeren (Vaccinium macrocarpon, Vaccinium oxycoccos, Vaccinium vitis-idaea): mit Zusatz von Alkohol: andere: andere</t>
  </si>
  <si>
    <t>mit Zusatz von Zucker, in unmittelbaren Umschließungen mit einem Gewicht des Inhalts von mehr als 1 kg</t>
  </si>
  <si>
    <t>KAPITEL 20 - ZUBEREITUNGEN VON GEMÜSE, FRÜCHTEN, NÜSSEN ODER ANDEREN PFLANZENTEILEN: Früchte, Nüsse und andere genießbare Pflanzenteile, in anderer Weise zubereitet oder haltbar gemacht, auch mit Zusatz von Zucker, anderen Süßmitteln oder Alkohol, anderweit weder genannt noch inbegriffen: andere, einschließlich Mischungen, ausgenommen Mischungen der Unterposition 200819: Preiselbeeren (Vaccinium macrocarpon, Vaccinium oxycoccos); Moosbeeren (Vaccinium vitis-idaea): ohne Zusatz von Alkohol: mit Zusatz von Zucker, in unmittelbaren Umschließungen mit einem Gewicht des Inhalts von mehr als 1 kg</t>
  </si>
  <si>
    <t>KAPITEL 20 - ZUBEREITUNGEN VON GEMÜSE, FRÜCHTEN, NÜSSEN ODER ANDEREN PFLANZENTEILEN: Früchte, Nüsse und andere genießbare Pflanzenteile, in anderer Weise zubereitet oder haltbar gemacht, auch mit Zusatz von Zucker, anderen Süßmitteln oder Alkohol, anderweit weder genannt noch inbegriffen: andere, einschließlich Mischungen, ausgenommen Mischungen der Unterposition 200819: Preiselbeeren und Moosbeeren (Vaccinium macrocarpon, Vaccinium oxycoccos, Vaccinium vitis-idaea): ohne Zusatz von Alkohol: mit Zusatz von Zucker, in unmittelbaren Umschließungen mit einem Gewicht des Inhalts von mehr als 1 kg</t>
  </si>
  <si>
    <t>mit Zusatz von Zucker, in unmittelbaren Umschließungen mit einem Gewicht des Inhalts von 1 kg oder weniger</t>
  </si>
  <si>
    <t>KAPITEL 20 - ZUBEREITUNGEN VON GEMÜSE, FRÜCHTEN, NÜSSEN ODER ANDEREN PFLANZENTEILEN: Früchte, Nüsse und andere genießbare Pflanzenteile, in anderer Weise zubereitet oder haltbar gemacht, auch mit Zusatz von Zucker, anderen Süßmitteln oder Alkohol, anderweit weder genannt noch inbegriffen: andere, einschließlich Mischungen, ausgenommen Mischungen der Unterposition 200819: Preiselbeeren (Vaccinium macrocarpon, Vaccinium oxycoccos); Moosbeeren (Vaccinium vitis-idaea): ohne Zusatz von Alkohol: mit Zusatz von Zucker, in unmittelbaren Umschließungen mit einem Gewicht des Inhalts von 1 kg oder weniger</t>
  </si>
  <si>
    <t>KAPITEL 20 - ZUBEREITUNGEN VON GEMÜSE, FRÜCHTEN, NÜSSEN ODER ANDEREN PFLANZENTEILEN: Früchte, Nüsse und andere genießbare Pflanzenteile, in anderer Weise zubereitet oder haltbar gemacht, auch mit Zusatz von Zucker, anderen Süßmitteln oder Alkohol, anderweit weder genannt noch inbegriffen: andere, einschließlich Mischungen, ausgenommen Mischungen der Unterposition 200819: Preiselbeeren und Moosbeeren (Vaccinium macrocarpon, Vaccinium oxycoccos, Vaccinium vitis-idaea): ohne Zusatz von Alkohol: mit Zusatz von Zucker, in unmittelbaren Umschließungen mit einem Gewicht des Inhalts von 1 kg oder weniger</t>
  </si>
  <si>
    <t>ohne Zusatz von Zucker</t>
  </si>
  <si>
    <t>KAPITEL 20 - ZUBEREITUNGEN VON GEMÜSE, FRÜCHTEN, NÜSSEN ODER ANDEREN PFLANZENTEILEN: Früchte, Nüsse und andere genießbare Pflanzenteile, in anderer Weise zubereitet oder haltbar gemacht, auch mit Zusatz von Zucker, anderen Süßmitteln oder Alkohol, anderweit weder genannt noch inbegriffen: andere, einschließlich Mischungen, ausgenommen Mischungen der Unterposition 200819: Preiselbeeren (Vaccinium macrocarpon, Vaccinium oxycoccos); Moosbeeren (Vaccinium vitis-idaea): ohne Zusatz von Alkohol: ohne Zusatz von Zucker</t>
  </si>
  <si>
    <t>KAPITEL 20 - ZUBEREITUNGEN VON GEMÜSE, FRÜCHTEN, NÜSSEN ODER ANDEREN PFLANZENTEILEN: Früchte, Nüsse und andere genießbare Pflanzenteile, in anderer Weise zubereitet oder haltbar gemacht, auch mit Zusatz von Zucker, anderen Süßmitteln oder Alkohol, anderweit weder genannt noch inbegriffen: andere, einschließlich Mischungen, ausgenommen Mischungen der Unterposition 200819: Preiselbeeren und Moosbeeren (Vaccinium macrocarpon, Vaccinium oxycoccos, Vaccinium vitis-idaea): ohne Zusatz von Alkohol: ohne Zusatz von Zucker</t>
  </si>
  <si>
    <t>mit einem Wert von 30 € oder weniger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</si>
  <si>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Orangensaft: gefroren: mit einem Brixwert von mehr als 67: mit einem Wert von 30 € oder weniger für 100 kg Eigengewicht</t>
  </si>
  <si>
    <t>KAPITEL 20 - ZUBEREITUNGEN VON GEMÜSE, FRÜCHTEN, NÜSSEN ODER ANDEREN PFLANZENTEILEN: Fruchtsäfte (einschließlich Traubenmost) und Gemüsesäfte, nicht gegoren, ohne Zusatz von Alkohol, auch mit Zusatz von Zucker oder anderen Süßmitteln: Orangensaft: gefroren: mit einem Brixwert von mehr als 67: mit einem Wert von 30 € oder weniger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</si>
  <si>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Orangensaft: gefroren: mit einem Brixwert von mehr als 67: anderer</t>
  </si>
  <si>
    <t>KAPITEL 20 - ZUBEREITUNGEN VON GEMÜSE, FRÜCHTEN, NÜSSEN ODER ANDEREN PFLANZENTEILEN: Fruchtsäfte (einschließlich Traubenmost) und Gemüsesäfte, nicht gegoren, ohne Zusatz von Alkohol, auch mit Zusatz von Zucker oder anderen Süßmitteln: Orangensaft: gefroren: mit einem Brixwert von mehr als 67: anderer</t>
  </si>
  <si>
    <t>mit einem Wert von 30 € oder weniger für 100 kg Eigengewicht und mit einem Gehalt an zugesetztem Zucker von mehr als 30 GHT</t>
  </si>
  <si>
    <t>KAPITEL 20 - ZUBEREITUNGEN VON GEMÜSE, FRÜCHTEN, NÜSSEN ODER ANDEREN PFLANZENTEILEN: Saft aus Früchten, Nüssen (einschließlich Traubenmost und Kokosnusswasser) und Gemüsesäfte, nicht gegoren, ohne Zusatz von Alkohol, auch mit Zusatz von Zucker oder anderen Süßmitteln: Orangensaft: gefroren: mit einem Brixwert von 67 oder weniger: mit einem Wert von 30 € oder weniger für 100 kg Eigengewicht und mit einem Gehalt an zugesetztem Zucker von mehr als 30 GHT</t>
  </si>
  <si>
    <t>KAPITEL 20 - ZUBEREITUNGEN VON GEMÜSE, FRÜCHTEN, NÜSSEN ODER ANDEREN PFLANZENTEILEN: Fruchtsäfte (einschließlich Traubenmost) und Gemüsesäfte, nicht gegoren, ohne Zusatz von Alkohol, auch mit Zusatz von Zucker oder anderen Süßmitteln: Orangensaft: gefroren: mit einem Brixwert von 67 oder weniger: mit einem Wert von 30 € oder weniger für 100 kg Eigengewicht und mit einem Gehalt an zugesetztem Zucker von mehr als 30 GHT</t>
  </si>
  <si>
    <t>KAPITEL 20 - ZUBEREITUNGEN VON GEMÜSE, FRÜCHTEN, NÜSSEN ODER ANDEREN PFLANZENTEILEN: Saft aus Früchten, Nüssen (einschließlich Traubenmost und Kokosnusswasser) und Gemüsesäfte, nicht gegoren, ohne Zusatz von Alkohol, auch mit Zusatz von Zucker oder anderen Süßmitteln: Orangensaft: gefroren: mit einem Brixwert von 67 oder weniger: anderer</t>
  </si>
  <si>
    <t>KAPITEL 20 - ZUBEREITUNGEN VON GEMÜSE, FRÜCHTEN, NÜSSEN ODER ANDEREN PFLANZENTEILEN: Fruchtsäfte (einschließlich Traubenmost) und Gemüsesäfte, nicht gegoren, ohne Zusatz von Alkohol, auch mit Zusatz von Zucker oder anderen Süßmitteln: Orangensaft: gefroren: mit einem Brixwert von 67 oder weniger: anderer</t>
  </si>
  <si>
    <t>nicht gefroren, mit einem Brixwert von 20 oder weniger</t>
  </si>
  <si>
    <t>KAPITEL 20 - ZUBEREITUNGEN VON GEMÜSE, FRÜCHTEN, NÜSSEN ODER ANDEREN PFLANZENTEILEN: Saft aus Früchten, Nüssen (einschließlich Traubenmost und Kokosnusswasser) und Gemüsesäfte, nicht gegoren, ohne Zusatz von Alkohol, auch mit Zusatz von Zucker oder anderen Süßmitteln: Orangensaft: nicht gefroren, mit einem Brixwert von 20 oder weniger</t>
  </si>
  <si>
    <t>KAPITEL 20 - ZUBEREITUNGEN VON GEMÜSE, FRÜCHTEN, NÜSSEN ODER ANDEREN PFLANZENTEILEN: Fruchtsäfte (einschließlich Traubenmost) und Gemüsesäfte, nicht gegoren, ohne Zusatz von Alkohol, auch mit Zusatz von Zucker oder anderen Süßmitteln: Orangensaft: nicht gefroren, mit einem Brixwert von 20 oder weniger</t>
  </si>
  <si>
    <t>KAPITEL 20 - ZUBEREITUNGEN VON GEMÜSE, FRÜCHTEN, NÜSSEN ODER ANDEREN PFLANZENTEILEN: Saft aus Früchten, Nüssen (einschließlich Traubenmost und Kokosnusswasser) und Gemüsesäfte, nicht gegoren, ohne Zusatz von Alkohol, auch mit Zusatz von Zucker oder anderen Süßmitteln: Orangensaft: anderer: mit einem Brixwert von mehr als 67: mit einem Wert von 30 € oder weniger für 100 kg Eigengewicht</t>
  </si>
  <si>
    <t>KAPITEL 20 - ZUBEREITUNGEN VON GEMÜSE, FRÜCHTEN, NÜSSEN ODER ANDEREN PFLANZENTEILEN: Fruchtsäfte (einschließlich Traubenmost) und Gemüsesäfte, nicht gegoren, ohne Zusatz von Alkohol, auch mit Zusatz von Zucker oder anderen Süßmitteln: Orangensaft: anderer: mit einem Brixwert von mehr als 67: mit einem Wert von 30 € oder weniger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</si>
  <si>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Orangensaft: anderer: mit einem Brixwert von mehr als 67: anderer</t>
  </si>
  <si>
    <t>KAPITEL 20 - ZUBEREITUNGEN VON GEMÜSE, FRÜCHTEN, NÜSSEN ODER ANDEREN PFLANZENTEILEN: Fruchtsäfte (einschließlich Traubenmost) und Gemüsesäfte, nicht gegoren, ohne Zusatz von Alkohol, auch mit Zusatz von Zucker oder anderen Süßmitteln: Orangensaft: anderer: mit einem Brixwert von mehr als 67: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</si>
  <si>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Orangensaft: anderer: mit einem Brixwert von mehr als 20, jedoch nicht mehr als 67: mit einem Wert von 30 € oder weniger für 100 kg Eigengewicht und mit einem Gehalt an zugesetztem Zucker von mehr als 30 GHT</t>
  </si>
  <si>
    <t>KAPITEL 20 - ZUBEREITUNGEN VON GEMÜSE, FRÜCHTEN, NÜSSEN ODER ANDEREN PFLANZENTEILEN: Fruchtsäfte (einschließlich Traubenmost) und Gemüsesäfte, nicht gegoren, ohne Zusatz von Alkohol, auch mit Zusatz von Zucker oder anderen Süßmitteln: Orangensaft: anderer: mit einem Brixwert von mehr als 20, jedoch nicht mehr als 67: mit einem Wert von 30 € oder weniger für 100 kg Eigengewicht und mit einem Gehalt an zugesetztem Zucker von mehr als 30 GHT</t>
  </si>
  <si>
    <t>KAPITEL 20 - ZUBEREITUNGEN VON GEMÜSE, FRÜCHTEN, NÜSSEN ODER ANDEREN PFLANZENTEILEN: Saft aus Früchten, Nüssen (einschließlich Traubenmost und Kokosnusswasser) und Gemüsesäfte, nicht gegoren, ohne Zusatz von Alkohol, auch mit Zusatz von Zucker oder anderen Süßmitteln: Orangensaft: anderer: mit einem Brixwert von mehr als 20, jedoch nicht mehr als 67: anderer</t>
  </si>
  <si>
    <t>KAPITEL 20 - ZUBEREITUNGEN VON GEMÜSE, FRÜCHTEN, NÜSSEN ODER ANDEREN PFLANZENTEILEN: Fruchtsäfte (einschließlich Traubenmost) und Gemüsesäfte, nicht gegoren, ohne Zusatz von Alkohol, auch mit Zusatz von Zucker oder anderen Süßmitteln: Orangensaft: anderer: mit einem Brixwert von mehr als 20, jedoch nicht mehr als 67: anderer</t>
  </si>
  <si>
    <t>mit einem Brixwert von 20 oder weniger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</si>
  <si>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Grapefruits oder Pampelmusen: mit einem Brixwert von 20 oder weniger</t>
  </si>
  <si>
    <t>KAPITEL 20 - ZUBEREITUNGEN VON GEMÜSE, FRÜCHTEN, NÜSSEN ODER ANDEREN PFLANZENTEILEN: Fruchtsäfte (einschließlich Traubenmost) und Gemüsesäfte, nicht gegoren, ohne Zusatz von Alkohol, auch mit Zusatz von Zucker oder anderen Süßmitteln: Saft aus Pampelmusen oder Grapefruits: mit einem Brixwert von 20 oder weniger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</si>
  <si>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Grapefruits oder Pampelmusen: anderer: mit einem Brixwert von mehr als 67: mit einem Wert von 30 € oder weniger für 100 kg Eigengewicht</t>
  </si>
  <si>
    <t>KAPITEL 20 - ZUBEREITUNGEN VON GEMÜSE, FRÜCHTEN, NÜSSEN ODER ANDEREN PFLANZENTEILEN: Fruchtsäfte (einschließlich Traubenmost) und Gemüsesäfte, nicht gegoren, ohne Zusatz von Alkohol, auch mit Zusatz von Zucker oder anderen Süßmitteln: Saft aus Pampelmusen oder Grapefruits: anderer: mit einem Brixwert von mehr als 67: mit einem Wert von 30 € oder weniger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</si>
  <si>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Grapefruits oder Pampelmusen: anderer: mit einem Brixwert von mehr als 67: anderer</t>
  </si>
  <si>
    <t>KAPITEL 20 - ZUBEREITUNGEN VON GEMÜSE, FRÜCHTEN, NÜSSEN ODER ANDEREN PFLANZENTEILEN: Fruchtsäfte (einschließlich Traubenmost) und Gemüsesäfte, nicht gegoren, ohne Zusatz von Alkohol, auch mit Zusatz von Zucker oder anderen Süßmitteln: Saft aus Pampelmusen oder Grapefruits: anderer: mit einem Brixwert von mehr als 67: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</si>
  <si>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Grapefruits oder Pampelmusen: anderer: mit einem Brixwert von mehr als 20, jedoch nicht mehr als 67: mit einem Wert von 30 € oder weniger für 100 kg Eigengewicht und mit einem Gehalt an zugesetztem Zucker von mehr als 30 GHT</t>
  </si>
  <si>
    <t>KAPITEL 20 - ZUBEREITUNGEN VON GEMÜSE, FRÜCHTEN, NÜSSEN ODER ANDEREN PFLANZENTEILEN: Fruchtsäfte (einschließlich Traubenmost) und Gemüsesäfte, nicht gegoren, ohne Zusatz von Alkohol, auch mit Zusatz von Zucker oder anderen Süßmitteln: Saft aus Pampelmusen oder Grapefruits: anderer: mit einem Brixwert von mehr als 20, jedoch nicht mehr als 67: mit einem Wert von 30 € oder weniger für 100 kg Eigengewicht und mit einem Gehalt an zugesetztem Zucker von mehr als 30 GHT</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</si>
  <si>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Grapefruits oder Pampelmusen: anderer: mit einem Brixwert von mehr als 20, jedoch nicht mehr als 67: anderer</t>
  </si>
  <si>
    <t>KAPITEL 20 - ZUBEREITUNGEN VON GEMÜSE, FRÜCHTEN, NÜSSEN ODER ANDEREN PFLANZENTEILEN: Fruchtsäfte (einschließlich Traubenmost) und Gemüsesäfte, nicht gegoren, ohne Zusatz von Alkohol, auch mit Zusatz von Zucker oder anderen Süßmitteln: Saft aus Pampelmusen oder Grapefruits: anderer: mit einem Brixwert von mehr als 20, jedoch nicht mehr als 67: anderer</t>
  </si>
  <si>
    <t>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</si>
  <si>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mit einem Brixwert von 20 oder weniger: mit einem Wert von mehr als 30 € für 100 kg Eigengewicht: zugesetzten Zucker enthaltend</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</si>
  <si>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mit einem Brixwert von 20 oder weniger: mit einem Wert von mehr als 30 € für 100 kg Eigengewicht: zugesetzten Zucker enthaltend</t>
  </si>
  <si>
    <t>keinen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</si>
  <si>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mit einem Brixwert von 20 oder weniger: mit einem Wert von mehr als 30 € für 100 kg Eigengewicht: keinen zugesetzten Zucker enthaltend</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</si>
  <si>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mit einem Brixwert von 20 oder weniger: mit einem Wert von mehr als 30 € für 100 kg Eigengewicht: keinen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</si>
  <si>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mit einem Brixwert von 20 oder weniger: mit einem Wert von 30 € oder weniger für 100 kg Eigengewicht: Zitronensaft: zugesetzten Zucker enthaltend</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</si>
  <si>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mit einem Brixwert von 20 oder weniger: mit einem Wert von 30 € oder weniger für 100 kg Eigengewicht: Zitronensaft: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</si>
  <si>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mit einem Brixwert von 20 oder weniger: mit einem Wert von 30 € oder weniger für 100 kg Eigengewicht: Zitronensaft: keinen zugesetzten Zucker enthaltend</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</si>
  <si>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mit einem Brixwert von 20 oder weniger: mit einem Wert von 30 € oder weniger für 100 kg Eigengewicht: Zitronensaft: keinen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</si>
  <si>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mit einem Brixwert von 20 oder weniger: mit einem Wert von 30 € oder weniger für 100 kg Eigengewicht: Saft aus anderen Zitrusfrüchten: zugesetzten Zucker enthaltend</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</si>
  <si>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mit einem Brixwert von 20 oder weniger: mit einem Wert von 30 € oder weniger für 100 kg Eigengewicht: Saft aus anderen Zitrusfrüchten: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</si>
  <si>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mit einem Brixwert von 20 oder weniger: mit einem Wert von 30 € oder weniger für 100 kg Eigengewicht: Saft aus anderen Zitrusfrüchten: keinen zugesetzten Zucker enthaltend</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</si>
  <si>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mit einem Brixwert von 20 oder weniger: mit einem Wert von 30 € oder weniger für 100 kg Eigengewicht: Saft aus anderen Zitrusfrüchten: keinen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</si>
  <si>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anderer: mit einem Brixwert von mehr als 67: mit einem Wert von 30 € oder weniger für 100 kg Eigengewicht</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</si>
  <si>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anderer: mit einem Brixwert von mehr als 67: mit einem Wert von 30 € oder weniger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</si>
  <si>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anderer: mit einem Brixwert von mehr als 67: anderer</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</si>
  <si>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anderer: mit einem Brixwert von mehr als 67: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</si>
  <si>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anderer: mit einem Brixwert von mehr als 20, jedoch nicht mehr als 67: mit einem Wert von mehr als 30 € für 100 kg Eigengewicht: zugesetzten Zucker enthaltend</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</si>
  <si>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anderer: mit einem Brixwert von mehr als 20, jedoch nicht mehr als 67: mit einem Wert von mehr als 30 € für 100 kg Eigengewicht: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</si>
  <si>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anderer: mit einem Brixwert von mehr als 20, jedoch nicht mehr als 67: mit einem Wert von mehr als 30 € für 100 kg Eigengewicht: keinen zugesetzten Zucker enthaltend</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</si>
  <si>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anderer: mit einem Brixwert von mehr als 20, jedoch nicht mehr als 67: mit einem Wert von mehr als 30 € für 100 kg Eigengewicht: keinen zugesetzten Zucker enthaltend</t>
  </si>
  <si>
    <t>mit einem Gehalt an zugesetztem Zucker von mehr als 30 GHT</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</si>
  <si>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anderer: mit einem Brixwert von mehr als 20, jedoch nicht mehr als 67: mit einem Wert von 30 € oder weniger für 100 kg Eigengewicht: Zitronensaft: mit einem Gehalt an zugesetztem Zucker von mehr als 30 GHT</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</si>
  <si>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anderer: mit einem Brixwert von mehr als 20, jedoch nicht mehr als 67: mit einem Wert von 30 € oder weniger für 100 kg Eigengewicht: Zitronensaft: mit einem Gehalt an zugesetztem Zucker von mehr als 30 GHT</t>
  </si>
  <si>
    <t>mit einem Gehalt an zugesetztem Zucker von 30 GHT oder weniger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</si>
  <si>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anderer: mit einem Brixwert von mehr als 20, jedoch nicht mehr als 67: mit einem Wert von 30 € oder weniger für 100 kg Eigengewicht: Zitronensaft: mit einem Gehalt an zugesetztem Zucker von 30 GHT oder weniger</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</si>
  <si>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anderer: mit einem Brixwert von mehr als 20, jedoch nicht mehr als 67: mit einem Wert von 30 € oder weniger für 100 kg Eigengewicht: Zitronensaft: mit einem Gehalt an zugesetztem Zucker von 30 GHT oder weniger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</si>
  <si>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anderer: mit einem Brixwert von mehr als 20, jedoch nicht mehr als 67: mit einem Wert von 30 € oder weniger für 100 kg Eigengewicht: Zitronensaft: keinen zugesetzten Zucker enthaltend</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</si>
  <si>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anderer: mit einem Brixwert von mehr als 20, jedoch nicht mehr als 67: mit einem Wert von 30 € oder weniger für 100 kg Eigengewicht: Zitronensaft: keinen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</si>
  <si>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anderer: mit einem Brixwert von mehr als 20, jedoch nicht mehr als 67: mit einem Wert von 30 € oder weniger für 100 kg Eigengewicht: Saft aus anderen Zitrusfrüchten: mit einem Gehalt an zugesetztem Zucker von mehr als 30 GHT</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</si>
  <si>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anderer: mit einem Brixwert von mehr als 20, jedoch nicht mehr als 67: mit einem Wert von 30 € oder weniger für 100 kg Eigengewicht: Saft aus anderen Zitrusfrüchten: mit einem Gehalt an zugesetztem Zucker von mehr als 30 GHT</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</si>
  <si>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anderer: mit einem Brixwert von mehr als 20, jedoch nicht mehr als 67: mit einem Wert von 30 € oder weniger für 100 kg Eigengewicht: Saft aus anderen Zitrusfrüchten: mit einem Gehalt an zugesetztem Zucker von 30 GHT oder weniger</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</si>
  <si>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anderer: mit einem Brixwert von mehr als 20, jedoch nicht mehr als 67: mit einem Wert von 30 € oder weniger für 100 kg Eigengewicht: Saft aus anderen Zitrusfrüchten: mit einem Gehalt an zugesetztem Zucker von 30 GHT oder weniger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</si>
  <si>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Zitrusfrüchten (ausgenommen Mischungen): anderer: mit einem Brixwert von mehr als 20, jedoch nicht mehr als 67: mit einem Wert von 30 € oder weniger für 100 kg Eigengewicht: Saft aus anderen Zitrusfrüchten: keinen zugesetzten Zucker enthaltend</t>
  </si>
  <si>
    <t>KAPITEL 20 - ZUBEREITUNGEN VON GEMÜSE, FRÜCHTEN, NÜSSEN ODER ANDEREN PFLANZENTEILEN: Fruchtsäfte (einschließlich Traubenmost) und Gemüsesäfte, nicht gegoren, ohne Zusatz von Alkohol, auch mit Zusatz von Zucker oder anderen Süßmitteln: Saft aus anderen Zitrusfrüchten (ausgenommen Mischungen): anderer: mit einem Brixwert von mehr als 20, jedoch nicht mehr als 67: mit einem Wert von 30 € oder weniger für 100 kg Eigengewicht: Saft aus anderen Zitrusfrüchten: keinen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</si>
  <si>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Ananassaft: mit einem Brixwert von 20 oder weniger: zugesetzten Zucker enthaltend</t>
  </si>
  <si>
    <t>KAPITEL 20 - ZUBEREITUNGEN VON GEMÜSE, FRÜCHTEN, NÜSSEN ODER ANDEREN PFLANZENTEILEN: Fruchtsäfte (einschließlich Traubenmost) und Gemüsesäfte, nicht gegoren, ohne Zusatz von Alkohol, auch mit Zusatz von Zucker oder anderen Süßmitteln: Ananassaft: mit einem Brixwert von 20 oder weniger: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</si>
  <si>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Ananassaft: mit einem Brixwert von 20 oder weniger: keinen zugesetzten Zucker enthaltend</t>
  </si>
  <si>
    <t>KAPITEL 20 - ZUBEREITUNGEN VON GEMÜSE, FRÜCHTEN, NÜSSEN ODER ANDEREN PFLANZENTEILEN: Fruchtsäfte (einschließlich Traubenmost) und Gemüsesäfte, nicht gegoren, ohne Zusatz von Alkohol, auch mit Zusatz von Zucker oder anderen Süßmitteln: Ananassaft: mit einem Brixwert von 20 oder weniger: keinen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</si>
  <si>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Ananassaft: anderer: mit einem Brixwert von mehr als 67: mit einem Wert von 30 € oder weniger für 100 kg Eigengewicht</t>
  </si>
  <si>
    <t>KAPITEL 20 - ZUBEREITUNGEN VON GEMÜSE, FRÜCHTEN, NÜSSEN ODER ANDEREN PFLANZENTEILEN: Fruchtsäfte (einschließlich Traubenmost) und Gemüsesäfte, nicht gegoren, ohne Zusatz von Alkohol, auch mit Zusatz von Zucker oder anderen Süßmitteln: Ananassaft: anderer: mit einem Brixwert von mehr als 67: mit einem Wert von 30 € oder weniger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</si>
  <si>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Ananassaft: anderer: mit einem Brixwert von mehr als 67: anderer</t>
  </si>
  <si>
    <t>KAPITEL 20 - ZUBEREITUNGEN VON GEMÜSE, FRÜCHTEN, NÜSSEN ODER ANDEREN PFLANZENTEILEN: Fruchtsäfte (einschließlich Traubenmost) und Gemüsesäfte, nicht gegoren, ohne Zusatz von Alkohol, auch mit Zusatz von Zucker oder anderen Süßmitteln: Ananassaft: anderer: mit einem Brixwert von mehr als 67: anderer</t>
  </si>
  <si>
    <t>mit einem Wert von mehr als 30 € für 100 kg Eigengewicht,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</si>
  <si>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Ananassaft: anderer: mit einem Brixwert von mehr als 20, jedoch nicht mehr als 67: mit einem Wert von mehr als 30 € für 100 kg Eigengewicht, zugesetzten Zucker enthaltend</t>
  </si>
  <si>
    <t>KAPITEL 20 - ZUBEREITUNGEN VON GEMÜSE, FRÜCHTEN, NÜSSEN ODER ANDEREN PFLANZENTEILEN: Fruchtsäfte (einschließlich Traubenmost) und Gemüsesäfte, nicht gegoren, ohne Zusatz von Alkohol, auch mit Zusatz von Zucker oder anderen Süßmitteln: Ananassaft: anderer: mit einem Brixwert von mehr als 20, jedoch nicht mehr als 67: mit einem Wert von mehr als 30 € für 100 kg Eigengewicht,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</si>
  <si>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Ananassaft: anderer: mit einem Brixwert von mehr als 20, jedoch nicht mehr als 67: anderer: mit einem Gehalt an zugesetztem Zucker von mehr als 30 GHT</t>
  </si>
  <si>
    <t>KAPITEL 20 - ZUBEREITUNGEN VON GEMÜSE, FRÜCHTEN, NÜSSEN ODER ANDEREN PFLANZENTEILEN: Fruchtsäfte (einschließlich Traubenmost) und Gemüsesäfte, nicht gegoren, ohne Zusatz von Alkohol, auch mit Zusatz von Zucker oder anderen Süßmitteln: Ananassaft: anderer: mit einem Brixwert von mehr als 20, jedoch nicht mehr als 67: anderer: mit einem Gehalt an zugesetztem Zucker von mehr als 30 GHT</t>
  </si>
  <si>
    <t>KAPITEL 20 - ZUBEREITUNGEN VON GEMÜSE, FRÜCHTEN, NÜSSEN ODER ANDEREN PFLANZENTEILEN: Saft aus Früchten, Nüssen (einschließlich Traubenmost und Kokosnusswasser) und Gemüsesäfte, nicht gegoren, ohne Zusatz von Alkohol, auch mit Zusatz von Zucker oder anderen Süßmitteln: Ananassaft: anderer: mit einem Brixwert von mehr als 20, jedoch nicht mehr als 67: anderer: mit einem Gehalt an zugesetztem Zucker von 30 GHT oder weniger</t>
  </si>
  <si>
    <t>KAPITEL 20 - ZUBEREITUNGEN VON GEMÜSE, FRÜCHTEN, NÜSSEN ODER ANDEREN PFLANZENTEILEN: Fruchtsäfte (einschließlich Traubenmost) und Gemüsesäfte, nicht gegoren, ohne Zusatz von Alkohol, auch mit Zusatz von Zucker oder anderen Süßmitteln: Ananassaft: anderer: mit einem Brixwert von mehr als 20, jedoch nicht mehr als 67: anderer: mit einem Gehalt an zugesetztem Zucker von 30 GHT oder weniger</t>
  </si>
  <si>
    <t>KAPITEL 20 - ZUBEREITUNGEN VON GEMÜSE, FRÜCHTEN, NÜSSEN ODER ANDEREN PFLANZENTEILEN: Saft aus Früchten, Nüssen (einschließlich Traubenmost und Kokosnusswasser) und Gemüsesäfte, nicht gegoren, ohne Zusatz von Alkohol, auch mit Zusatz von Zucker oder anderen Süßmitteln: Ananassaft: anderer: mit einem Brixwert von mehr als 20, jedoch nicht mehr als 67: anderer: keinen zugesetzten Zucker enthaltend</t>
  </si>
  <si>
    <t>KAPITEL 20 - ZUBEREITUNGEN VON GEMÜSE, FRÜCHTEN, NÜSSEN ODER ANDEREN PFLANZENTEILEN: Fruchtsäfte (einschließlich Traubenmost) und Gemüsesäfte, nicht gegoren, ohne Zusatz von Alkohol, auch mit Zusatz von Zucker oder anderen Süßmitteln: Ananassaft: anderer: mit einem Brixwert von mehr als 20, jedoch nicht mehr als 67: anderer: keinen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</si>
  <si>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Tomatensaft: zugesetzten Zucker enthaltend</t>
  </si>
  <si>
    <t>KAPITEL 20 - ZUBEREITUNGEN VON GEMÜSE, FRÜCHTEN, NÜSSEN ODER ANDEREN PFLANZENTEILEN: Fruchtsäfte (einschließlich Traubenmost) und Gemüsesäfte, nicht gegoren, ohne Zusatz von Alkohol, auch mit Zusatz von Zucker oder anderen Süßmitteln: Tomatensaft: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</si>
  <si>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Tomatensaft: anderer</t>
  </si>
  <si>
    <t>KAPITEL 20 - ZUBEREITUNGEN VON GEMÜSE, FRÜCHTEN, NÜSSEN ODER ANDEREN PFLANZENTEILEN: Fruchtsäfte (einschließlich Traubenmost) und Gemüsesäfte, nicht gegoren, ohne Zusatz von Alkohol, auch mit Zusatz von Zucker oder anderen Süßmitteln: Tomatensaft: anderer</t>
  </si>
  <si>
    <t>mit einem Wert von mehr als 18 €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</si>
  <si>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Traubensaft (einschließlich Traubenmost): mit einem Brixwert von 30 oder weniger: mit einem Wert von mehr als 18 € für 100 kg Eigengewicht</t>
  </si>
  <si>
    <t>KAPITEL 20 - ZUBEREITUNGEN VON GEMÜSE, FRÜCHTEN, NÜSSEN ODER ANDEREN PFLANZENTEILEN: Fruchtsäfte (einschließlich Traubenmost) und Gemüsesäfte, nicht gegoren, ohne Zusatz von Alkohol, auch mit Zusatz von Zucker oder anderen Süßmitteln: Traubensaft (einschließlich Traubenmost): mit einem Brixwert von 30 oder weniger: mit einem Wert von mehr als 18 € für 100 kg Eigengewicht</t>
  </si>
  <si>
    <t>mit einem Wert von 18 € oder weniger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</si>
  <si>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Traubensaft (einschließlich Traubenmost): mit einem Brixwert von 30 oder weniger: mit einem Wert von 18 € oder weniger für 100 kg Eigengewicht</t>
  </si>
  <si>
    <t>KAPITEL 20 - ZUBEREITUNGEN VON GEMÜSE, FRÜCHTEN, NÜSSEN ODER ANDEREN PFLANZENTEILEN: Fruchtsäfte (einschließlich Traubenmost) und Gemüsesäfte, nicht gegoren, ohne Zusatz von Alkohol, auch mit Zusatz von Zucker oder anderen Süßmitteln: Traubensaft (einschließlich Traubenmost): mit einem Brixwert von 30 oder weniger: mit einem Wert von 18 € oder weniger für 100 kg Eigengewicht</t>
  </si>
  <si>
    <t>mit einem Wert von 22 € oder weniger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</si>
  <si>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Traubensaft (einschließlich Traubenmost): anderer: mit einem Brixwert von mehr als 67: mit einem Wert von 22 € oder weniger für 100 kg Eigengewicht</t>
  </si>
  <si>
    <t>KAPITEL 20 - ZUBEREITUNGEN VON GEMÜSE, FRÜCHTEN, NÜSSEN ODER ANDEREN PFLANZENTEILEN: Fruchtsäfte (einschließlich Traubenmost) und Gemüsesäfte, nicht gegoren, ohne Zusatz von Alkohol, auch mit Zusatz von Zucker oder anderen Süßmitteln: Traubensaft (einschließlich Traubenmost): anderer: mit einem Brixwert von mehr als 67: mit einem Wert von 22 € oder weniger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</si>
  <si>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Traubensaft (einschließlich Traubenmost): anderer: mit einem Brixwert von mehr als 67: anderer</t>
  </si>
  <si>
    <t>KAPITEL 20 - ZUBEREITUNGEN VON GEMÜSE, FRÜCHTEN, NÜSSEN ODER ANDEREN PFLANZENTEILEN: Fruchtsäfte (einschließlich Traubenmost) und Gemüsesäfte, nicht gegoren, ohne Zusatz von Alkohol, auch mit Zusatz von Zucker oder anderen Süßmitteln: Traubensaft (einschließlich Traubenmost): anderer: mit einem Brixwert von mehr als 67: anderer</t>
  </si>
  <si>
    <t>konzentriert</t>
  </si>
  <si>
    <t>KAPITEL 20 - ZUBEREITUNGEN VON GEMÜSE, FRÜCHTEN, NÜSSEN ODER ANDEREN PFLANZENTEILEN: Saft aus Früchten, Nüssen (einschließlich Traubenmost und Kokosnusswasser) und Gemüsesäfte, nicht gegoren, ohne Zusatz von Alkohol, auch mit Zusatz von Zucker oder anderen Süßmitteln: Traubensaft (einschließlich Traubenmost): anderer: mit einem Brixwert von mehr als 30, jedoch nicht mehr als 67: mit einem Wert von mehr als 18 € für 100 kg Eigengewicht: konzentriert</t>
  </si>
  <si>
    <t>KAPITEL 20 - ZUBEREITUNGEN VON GEMÜSE, FRÜCHTEN, NÜSSEN ODER ANDEREN PFLANZENTEILEN: Fruchtsäfte (einschließlich Traubenmost) und Gemüsesäfte, nicht gegoren, ohne Zusatz von Alkohol, auch mit Zusatz von Zucker oder anderen Süßmitteln: Traubensaft (einschließlich Traubenmost): anderer: mit einem Brixwert von mehr als 30, jedoch nicht mehr als 67: mit einem Wert von mehr als 18 € für 100 kg Eigengewicht: konzentriert</t>
  </si>
  <si>
    <t>KAPITEL 20 - ZUBEREITUNGEN VON GEMÜSE, FRÜCHTEN, NÜSSEN ODER ANDEREN PFLANZENTEILEN: Saft aus Früchten, Nüssen (einschließlich Traubenmost und Kokosnusswasser) und Gemüsesäfte, nicht gegoren, ohne Zusatz von Alkohol, auch mit Zusatz von Zucker oder anderen Süßmitteln: Traubensaft (einschließlich Traubenmost): anderer: mit einem Brixwert von mehr als 30, jedoch nicht mehr als 67: mit einem Wert von mehr als 18 € für 100 kg Eigengewicht: anderer</t>
  </si>
  <si>
    <t>KAPITEL 20 - ZUBEREITUNGEN VON GEMÜSE, FRÜCHTEN, NÜSSEN ODER ANDEREN PFLANZENTEILEN: Fruchtsäfte (einschließlich Traubenmost) und Gemüsesäfte, nicht gegoren, ohne Zusatz von Alkohol, auch mit Zusatz von Zucker oder anderen Süßmitteln: Traubensaft (einschließlich Traubenmost): anderer: mit einem Brixwert von mehr als 30, jedoch nicht mehr als 67: mit einem Wert von mehr als 18 € für 100 kg Eigengewicht: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</si>
  <si>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Traubensaft (einschließlich Traubenmost): anderer: mit einem Brixwert von mehr als 30, jedoch nicht mehr als 67: mit einem Wert von 18 € oder weniger für 100 kg Eigengewicht: mit einem Gehalt an zugesetztem Zucker von mehr als 30 GHT: konzentriert</t>
  </si>
  <si>
    <t>KAPITEL 20 - ZUBEREITUNGEN VON GEMÜSE, FRÜCHTEN, NÜSSEN ODER ANDEREN PFLANZENTEILEN: Fruchtsäfte (einschließlich Traubenmost) und Gemüsesäfte, nicht gegoren, ohne Zusatz von Alkohol, auch mit Zusatz von Zucker oder anderen Süßmitteln: Traubensaft (einschließlich Traubenmost): anderer: mit einem Brixwert von mehr als 30, jedoch nicht mehr als 67: mit einem Wert von 18 € oder weniger für 100 kg Eigengewicht: mit einem Gehalt an zugesetztem Zucker von mehr als 30 GHT: konzentriert</t>
  </si>
  <si>
    <t>KAPITEL 20 - ZUBEREITUNGEN VON GEMÜSE, FRÜCHTEN, NÜSSEN ODER ANDEREN PFLANZENTEILEN: Saft aus Früchten, Nüssen (einschließlich Traubenmost und Kokosnusswasser) und Gemüsesäfte, nicht gegoren, ohne Zusatz von Alkohol, auch mit Zusatz von Zucker oder anderen Süßmitteln: Traubensaft (einschließlich Traubenmost): anderer: mit einem Brixwert von mehr als 30, jedoch nicht mehr als 67: mit einem Wert von 18 € oder weniger für 100 kg Eigengewicht: mit einem Gehalt an zugesetztem Zucker von mehr als 30 GHT: anderer</t>
  </si>
  <si>
    <t>KAPITEL 20 - ZUBEREITUNGEN VON GEMÜSE, FRÜCHTEN, NÜSSEN ODER ANDEREN PFLANZENTEILEN: Fruchtsäfte (einschließlich Traubenmost) und Gemüsesäfte, nicht gegoren, ohne Zusatz von Alkohol, auch mit Zusatz von Zucker oder anderen Süßmitteln: Traubensaft (einschließlich Traubenmost): anderer: mit einem Brixwert von mehr als 30, jedoch nicht mehr als 67: mit einem Wert von 18 € oder weniger für 100 kg Eigengewicht: mit einem Gehalt an zugesetztem Zucker von mehr als 30 GHT: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</si>
  <si>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Traubensaft (einschließlich Traubenmost): anderer: mit einem Brixwert von mehr als 30, jedoch nicht mehr als 67: mit einem Wert von 18 € oder weniger für 100 kg Eigengewicht: anderer</t>
  </si>
  <si>
    <t>KAPITEL 20 - ZUBEREITUNGEN VON GEMÜSE, FRÜCHTEN, NÜSSEN ODER ANDEREN PFLANZENTEILEN: Fruchtsäfte (einschließlich Traubenmost) und Gemüsesäfte, nicht gegoren, ohne Zusatz von Alkohol, auch mit Zusatz von Zucker oder anderen Süßmitteln: Traubensaft (einschließlich Traubenmost): anderer: mit einem Brixwert von mehr als 30, jedoch nicht mehr als 67: mit einem Wert von 18 € oder weniger für 100 kg Eigengewicht: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</si>
  <si>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Apfelsaft: mit einem Brixwert von 20 oder weniger: zugesetzten Zucker enthaltend</t>
  </si>
  <si>
    <t>KAPITEL 20 - ZUBEREITUNGEN VON GEMÜSE, FRÜCHTEN, NÜSSEN ODER ANDEREN PFLANZENTEILEN: Fruchtsäfte (einschließlich Traubenmost) und Gemüsesäfte, nicht gegoren, ohne Zusatz von Alkohol, auch mit Zusatz von Zucker oder anderen Süßmitteln: Apfelsaft: mit einem Brixwert von 20 oder weniger: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</si>
  <si>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Apfelsaft: mit einem Brixwert von 20 oder weniger: keinen zugesetzten Zucker enthaltend</t>
  </si>
  <si>
    <t>KAPITEL 20 - ZUBEREITUNGEN VON GEMÜSE, FRÜCHTEN, NÜSSEN ODER ANDEREN PFLANZENTEILEN: Fruchtsäfte (einschließlich Traubenmost) und Gemüsesäfte, nicht gegoren, ohne Zusatz von Alkohol, auch mit Zusatz von Zucker oder anderen Süßmitteln: Apfelsaft: mit einem Brixwert von 20 oder weniger: keinen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</si>
  <si>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Apfelsaft: anderer: mit einem Brixwert von mehr als 67: mit einem Wert von 22 € oder weniger für 100 kg Eigengewicht</t>
  </si>
  <si>
    <t>KAPITEL 20 - ZUBEREITUNGEN VON GEMÜSE, FRÜCHTEN, NÜSSEN ODER ANDEREN PFLANZENTEILEN: Fruchtsäfte (einschließlich Traubenmost) und Gemüsesäfte, nicht gegoren, ohne Zusatz von Alkohol, auch mit Zusatz von Zucker oder anderen Süßmitteln: Apfelsaft: anderer: mit einem Brixwert von mehr als 67: mit einem Wert von 22 € oder weniger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</si>
  <si>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Apfelsaft: anderer: mit einem Brixwert von mehr als 67: anderer</t>
  </si>
  <si>
    <t>KAPITEL 20 - ZUBEREITUNGEN VON GEMÜSE, FRÜCHTEN, NÜSSEN ODER ANDEREN PFLANZENTEILEN: Fruchtsäfte (einschließlich Traubenmost) und Gemüsesäfte, nicht gegoren, ohne Zusatz von Alkohol, auch mit Zusatz von Zucker oder anderen Süßmitteln: Apfelsaft: anderer: mit einem Brixwert von mehr als 67: anderer</t>
  </si>
  <si>
    <t>mit einem Wert von mehr als 18 € für 100 kg Eigengewicht,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</si>
  <si>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Apfelsaft: anderer: mit einem Brixwert von mehr als 20, jedoch nicht mehr als 67: mit einem Wert von mehr als 18 € für 100 kg Eigengewicht, zugesetzten Zucker enthaltend</t>
  </si>
  <si>
    <t>KAPITEL 20 - ZUBEREITUNGEN VON GEMÜSE, FRÜCHTEN, NÜSSEN ODER ANDEREN PFLANZENTEILEN: Fruchtsäfte (einschließlich Traubenmost) und Gemüsesäfte, nicht gegoren, ohne Zusatz von Alkohol, auch mit Zusatz von Zucker oder anderen Süßmitteln: Apfelsaft: anderer: mit einem Brixwert von mehr als 20, jedoch nicht mehr als 67: mit einem Wert von mehr als 18 € für 100 kg Eigengewicht,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</si>
  <si>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Apfelsaft: anderer: mit einem Brixwert von mehr als 20, jedoch nicht mehr als 67: anderer: mit einem Gehalt an zugesetztem Zucker von mehr als 30 GHT</t>
  </si>
  <si>
    <t>KAPITEL 20 - ZUBEREITUNGEN VON GEMÜSE, FRÜCHTEN, NÜSSEN ODER ANDEREN PFLANZENTEILEN: Fruchtsäfte (einschließlich Traubenmost) und Gemüsesäfte, nicht gegoren, ohne Zusatz von Alkohol, auch mit Zusatz von Zucker oder anderen Süßmitteln: Apfelsaft: anderer: mit einem Brixwert von mehr als 20, jedoch nicht mehr als 67: anderer: mit einem Gehalt an zugesetztem Zucker von mehr als 30 GHT</t>
  </si>
  <si>
    <t>KAPITEL 20 - ZUBEREITUNGEN VON GEMÜSE, FRÜCHTEN, NÜSSEN ODER ANDEREN PFLANZENTEILEN: Saft aus Früchten, Nüssen (einschließlich Traubenmost und Kokosnusswasser) und Gemüsesäfte, nicht gegoren, ohne Zusatz von Alkohol, auch mit Zusatz von Zucker oder anderen Süßmitteln: Apfelsaft: anderer: mit einem Brixwert von mehr als 20, jedoch nicht mehr als 67: anderer: anderer</t>
  </si>
  <si>
    <t>KAPITEL 20 - ZUBEREITUNGEN VON GEMÜSE, FRÜCHTEN, NÜSSEN ODER ANDEREN PFLANZENTEILEN: Fruchtsäfte (einschließlich Traubenmost) und Gemüsesäfte, nicht gegoren, ohne Zusatz von Alkohol, auch mit Zusatz von Zucker oder anderen Süßmitteln: Apfelsaft: anderer: mit einem Brixwert von mehr als 20, jedoch nicht mehr als 67: anderer: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</si>
  <si>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Saft aus Preiselbeeren (Vaccinium macrocarpon, Vaccinium oxycoccos); Moosbeeren (Vaccinium vitis-idaea): mit einem Brixwert von mehr als 67: mit einem Wert von 30 € oder weniger für 100 kg Eigengewicht</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</si>
  <si>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Saft aus Preiselbeeren oder Moosbeeren  (Vaccinium macrocarpon, Vaccinium oxycoccos, Vaccinium vitis-idaea): mit einem Brixwert von mehr als 67: mit einem Wert von 30 € oder weniger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</si>
  <si>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Saft aus Preiselbeeren (Vaccinium macrocarpon, Vaccinium oxycoccos); Moosbeeren (Vaccinium vitis-idaea): mit einem Brixwert von mehr als 67: anderer</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</si>
  <si>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Saft aus Preiselbeeren oder Moosbeeren  (Vaccinium macrocarpon, Vaccinium oxycoccos, Vaccinium vitis-idaea): mit einem Brixwert von mehr als 67: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</si>
  <si>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Saft aus Preiselbeeren (Vaccinium macrocarpon, Vaccinium oxycoccos); Moosbeeren (Vaccinium vitis-idaea): mit einem Brixwert von 67 oder weniger: mit einem Wert von mehr als 30 € für 100 kg Eigengewicht, zugesetzten Zucker enthaltend</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</si>
  <si>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Saft aus Preiselbeeren oder Moosbeeren  (Vaccinium macrocarpon, Vaccinium oxycoccos, Vaccinium vitis-idaea): mit einem Brixwert von 67 oder weniger: mit einem Wert von mehr als 30 € für 100 kg Eigengewicht,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</si>
  <si>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Saft aus Preiselbeeren (Vaccinium macrocarpon, Vaccinium oxycoccos); Moosbeeren (Vaccinium vitis-idaea): mit einem Brixwert von 67 oder weniger: anderer: mit einem Gehalt an zugesetztem Zucker von mehr als 30 GHT</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</si>
  <si>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Saft aus Preiselbeeren oder Moosbeeren  (Vaccinium macrocarpon, Vaccinium oxycoccos, Vaccinium vitis-idaea): mit einem Brixwert von 67 oder weniger: anderer: mit einem Gehalt an zugesetztem Zucker von mehr als 30 GHT</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</si>
  <si>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Saft aus Preiselbeeren (Vaccinium macrocarpon, Vaccinium oxycoccos); Moosbeeren (Vaccinium vitis-idaea): mit einem Brixwert von 67 oder weniger: anderer: mit einem Gehalt an zugesetztem Zucker von 30 GHT oder weniger</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</si>
  <si>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Saft aus Preiselbeeren oder Moosbeeren  (Vaccinium macrocarpon, Vaccinium oxycoccos, Vaccinium vitis-idaea): mit einem Brixwert von 67 oder weniger: anderer: mit einem Gehalt an zugesetztem Zucker von 30 GHT oder weniger</t>
  </si>
  <si>
    <t>aus der Frucht der Art Vaccinium macrocarpon</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</si>
  <si>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Saft aus Preiselbeeren (Vaccinium macrocarpon, Vaccinium oxycoccos); Moosbeeren (Vaccinium vitis-idaea): mit einem Brixwert von 67 oder weniger: anderer: keinen zugesetzten Zucker enthaltend: aus der Frucht der Art Vaccinium macrocarpon</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</si>
  <si>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Saft aus Preiselbeeren oder Moosbeeren  (Vaccinium macrocarpon, Vaccinium oxycoccos, Vaccinium vitis-idaea): mit einem Brixwert von 67 oder weniger: anderer: keinen zugesetzten Zucker enthaltend: aus der Frucht der Art Vaccinium macrocarpon</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</si>
  <si>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Saft aus Preiselbeeren (Vaccinium macrocarpon, Vaccinium oxycoccos); Moosbeeren (Vaccinium vitis-idaea): mit einem Brixwert von 67 oder weniger: anderer: keinen zugesetzten Zucker enthaltend: anderer</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</si>
  <si>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Saft aus Preiselbeeren oder Moosbeeren  (Vaccinium macrocarpon, Vaccinium oxycoccos, Vaccinium vitis-idaea): mit einem Brixwert von 67 oder weniger: anderer: keinen zugesetzten Zucker enthaltend: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</si>
  <si>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mehr als 67: Birnensaft: mit einem Wert von 22 € oder weniger für 100 kg Eigengewicht</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</si>
  <si>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mehr als 67: Birnensaft: mit einem Wert von 22 € oder weniger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</si>
  <si>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mehr als 67: Birnensaft: anderer</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</si>
  <si>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mehr als 67: Birnensaft: anderer</t>
  </si>
  <si>
    <t>aus tropischen Früchten</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</si>
  <si>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mehr als 67: anderer: mit einem Wert von 30 € oder weniger für 100 kg Eigengewicht: aus tropischen Früchten</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</si>
  <si>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mehr als 67: anderer: mit einem Wert von 30 € oder weniger für 100 kg Eigengewicht: aus tropischen Früchten</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</si>
  <si>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mehr als 67: anderer: mit einem Wert von 30 € oder weniger für 100 kg Eigengewicht: anderer</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</si>
  <si>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mehr als 67: anderer: mit einem Wert von 30 € oder weniger für 100 kg Eigengewicht: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</si>
  <si>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mehr als 67: anderer: anderer: aus tropischen Früchten</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</si>
  <si>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mehr als 67: anderer: anderer: aus tropischen Früchten</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</si>
  <si>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mehr als 67: anderer: anderer: anderer</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</si>
  <si>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mehr als 67: anderer: anderer: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</si>
  <si>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67 oder weniger: Birnensaft: mit einem Wert von mehr als 18 € für 100 kg Eigengewicht, zugesetzten Zucker enthaltend</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</si>
  <si>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67 oder weniger: Birnensaft: mit einem Wert von mehr als 18 € für 100 kg Eigengewicht,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</si>
  <si>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67 oder weniger: Birnensaft: anderer: mit einem Gehalt an zugesetztem Zucker von mehr als 30 GHT</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</si>
  <si>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67 oder weniger: Birnensaft: anderer: mit einem Gehalt an zugesetztem Zucker von mehr als 30 GHT</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</si>
  <si>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67 oder weniger: Birnensaft: anderer: mit einem Gehalt an zugesetztem Zucker von 30 GHT oder weniger</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</si>
  <si>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67 oder weniger: Birnensaft: anderer: mit einem Gehalt an zugesetztem Zucker von 30 GHT oder weniger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</si>
  <si>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67 oder weniger: Birnensaft: anderer: keinen zugesetzten Zucker enthaltend</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</si>
  <si>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67 oder weniger: Birnensaft: anderer: keinen zugesetzten Zucker enthaltend</t>
  </si>
  <si>
    <t>Kirschsaft</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</si>
  <si>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67 oder weniger: anderer: mit einem Wert von mehr als 30 € für 100 kg Eigengewicht, zugesetzten Zucker enthaltend: Kirschsaft</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</si>
  <si>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67 oder weniger: anderer: mit einem Wert von mehr als 30 € für 100 kg Eigengewicht, zugesetzten Zucker enthaltend: Kirschsaft</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</si>
  <si>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67 oder weniger: anderer: mit einem Wert von mehr als 30 € für 100 kg Eigengewicht, zugesetzten Zucker enthaltend: aus tropischen Früchten</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</si>
  <si>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67 oder weniger: anderer: mit einem Wert von mehr als 30 € für 100 kg Eigengewicht, zugesetzten Zucker enthaltend: aus tropischen Früchten</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</si>
  <si>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67 oder weniger: anderer: mit einem Wert von mehr als 30 € für 100 kg Eigengewicht, zugesetzten Zucker enthaltend: anderer</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</si>
  <si>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67 oder weniger: anderer: mit einem Wert von mehr als 30 € für 100 kg Eigengewicht, zugesetzten Zucker enthaltend: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</si>
  <si>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67 oder weniger: anderer: anderer: mit einem Gehalt an zugesetztem Zucker von mehr als 30 GHT: aus tropischen Früchten</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</si>
  <si>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67 oder weniger: anderer: anderer: mit einem Gehalt an zugesetztem Zucker von mehr als 30 GHT: aus tropischen Früchten</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</si>
  <si>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67 oder weniger: anderer: anderer: mit einem Gehalt an zugesetztem Zucker von mehr als 30 GHT: anderer</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</si>
  <si>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67 oder weniger: anderer: anderer: mit einem Gehalt an zugesetztem Zucker von mehr als 30 GHT: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</si>
  <si>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67 oder weniger: anderer: anderer: mit einem Gehalt an zugesetztem Zucker von 30 GHT oder weniger: aus tropischen Früchten</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</si>
  <si>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67 oder weniger: anderer: anderer: mit einem Gehalt an zugesetztem Zucker von 30 GHT oder weniger: aus tropischen Früchten</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</si>
  <si>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67 oder weniger: anderer: anderer: mit einem Gehalt an zugesetztem Zucker von 30 GHT oder weniger: anderer</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</si>
  <si>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67 oder weniger: anderer: anderer: mit einem Gehalt an zugesetztem Zucker von 30 GHT oder weniger: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</si>
  <si>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67 oder weniger: anderer: anderer: keinen zugesetzten Zucker enthaltend: Kirschsaft</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</si>
  <si>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67 oder weniger: anderer: anderer: keinen zugesetzten Zucker enthaltend: Kirschsaft</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</si>
  <si>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67 oder weniger: anderer: anderer: keinen zugesetzten Zucker enthaltend: aus tropischen Früchten</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</si>
  <si>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67 oder weniger: anderer: anderer: keinen zugesetzten Zucker enthaltend: aus tropischen Früchten</t>
  </si>
  <si>
    <t>KAPITEL 20 - ZUBEREITUNGEN VON GEMÜSE, FRÜCHTEN, NÜSSEN ODER ANDEREN PFLANZENTEILEN: Saft aus Früchten, Nüssen (einschließlich Traubenmost und Kokosnusswasser) und Gemüsesäfte, nicht gegoren, ohne Zusatz von Alkohol, auch mit Zusatz von Zucker oder anderen Süßmitteln: Saft aus anderen Früchten, Nüssen oder Gemüsen (ausgenommen Mischungen): anderer: mit einem Brixwert von 67 oder weniger: anderer: anderer: keinen zugesetzten Zucker enthaltend: anderer</t>
  </si>
  <si>
    <t>KAPITEL 20 - ZUBEREITUNGEN VON GEMÜSE, FRÜCHTEN, NÜSSEN ODER ANDEREN PFLANZENTEILEN: Fruchtsäfte (einschließlich Traubenmost) und Gemüsesäfte, nicht gegoren, ohne Zusatz von Alkohol, auch mit Zusatz von Zucker oder anderen Süßmitteln: Saft aus anderen Früchten oder Gemüsen (ausgenommen Mischungen): anderer: mit einem Brixwert von 67 oder weniger: anderer: anderer: keinen zugesetzten Zucker enthaltend: anderer</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</si>
  <si>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mehr als 67: Mischungen aus Apfel- und Birnensaft: mit einem Wert von 22 € oder weniger für 100 kg Eigengewicht</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</si>
  <si>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mehr als 67: Mischungen aus Apfel- und Birnensaft: mit einem Wert von 22 € oder weniger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</si>
  <si>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mehr als 67: Mischungen aus Apfel- und Birnensaft: andere</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</si>
  <si>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mehr als 67: Mischungen aus Apfel- und Birnensaft: andere</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</si>
  <si>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mehr als 67: andere: mit einem Wert von 30 € oder weniger für 100 kg Eigengewicht</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</si>
  <si>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mehr als 67: andere: mit einem Wert von 30 € oder weniger für 100 kg Eigengewicht</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</si>
  <si>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mehr als 67: andere: andere</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</si>
  <si>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mehr als 67: andere: andere</t>
  </si>
  <si>
    <t>mit einem Wert von 18 € oder weniger für 100 kg Eigengewicht und mit einem Gehalt an zugesetztem Zucker von mehr als 30 GHT</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</si>
  <si>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Mischungen aus Apfel- und Birnensaft: mit einem Wert von 18 € oder weniger für 100 kg Eigengewicht und mit einem Gehalt an zugesetztem Zucker von mehr als 30 GHT</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</si>
  <si>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Mischungen aus Apfel- und Birnensaft: mit einem Wert von 18 € oder weniger für 100 kg Eigengewicht und mit einem Gehalt an zugesetztem Zucker von mehr als 30 GHT</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</si>
  <si>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Mischungen aus Apfel- und Birnensaft: andere</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</si>
  <si>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Mischungen aus Apfel- und Birnensaft: andere</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</si>
  <si>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andere: mit einem Wert von mehr als 30 € für 100 kg Eigengewicht: Mischungen aus Zitrusfrucht- und Ananassaft: zugesetzten Zucker enthaltend</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</si>
  <si>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andere: mit einem Wert von mehr als 30 € für 100 kg Eigengewicht: Mischungen aus Zitrusfrucht- und Ananassaft: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</si>
  <si>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andere: mit einem Wert von mehr als 30 € für 100 kg Eigengewicht: Mischungen aus Zitrusfrucht- und Ananassaft: andere</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</si>
  <si>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andere: mit einem Wert von mehr als 30 € für 100 kg Eigengewicht: Mischungen aus Zitrusfrucht- und Ananassaft: andere</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</si>
  <si>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andere: mit einem Wert von mehr als 30 € für 100 kg Eigengewicht: andere: zugesetzten Zucker enthaltend</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</si>
  <si>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andere: mit einem Wert von mehr als 30 € für 100 kg Eigengewicht: andere: zugesetzten Zucker enthaltend</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</si>
  <si>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andere: mit einem Wert von mehr als 30 € für 100 kg Eigengewicht: andere: andere</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</si>
  <si>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andere: mit einem Wert von mehr als 30 € für 100 kg Eigengewicht: andere: andere</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</si>
  <si>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andere: mit einem Wert von 30 € oder weniger für 100 kg Eigengewicht: Mischungen aus Zitrusfrucht- und Ananassaft: mit einem Gehalt an zugesetztem Zucker von mehr als 30 GHT</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</si>
  <si>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andere: mit einem Wert von 30 € oder weniger für 100 kg Eigengewicht: Mischungen aus Zitrusfrucht- und Ananassaft: mit einem Gehalt an zugesetztem Zucker von mehr als 30 GHT</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</si>
  <si>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andere: mit einem Wert von 30 € oder weniger für 100 kg Eigengewicht: Mischungen aus Zitrusfrucht- und Ananassaft: mit einem Gehalt an zugesetztem Zucker von 30 GHT oder weniger</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</si>
  <si>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andere: mit einem Wert von 30 € oder weniger für 100 kg Eigengewicht: Mischungen aus Zitrusfrucht- und Ananassaft: mit einem Gehalt an zugesetztem Zucker von 30 GHT oder weniger</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</si>
  <si>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andere: mit einem Wert von 30 € oder weniger für 100 kg Eigengewicht: Mischungen aus Zitrusfrucht- und Ananassaft: keinen zugesetzten Zucker enthaltend</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</si>
  <si>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andere: mit einem Wert von 30 € oder weniger für 100 kg Eigengewicht: Mischungen aus Zitrusfrucht- und Ananassaft: keinen zugesetzten Zucker enthaltend</t>
  </si>
  <si>
    <t>Mischungen von Säften aus tropischen Früchten</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</si>
  <si>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andere: mit einem Wert von 30 € oder weniger für 100 kg Eigengewicht: andere: mit einem Gehalt an zugesetztem Zucker von mehr als 30 GHT: Mischungen von Säften aus tropischen Früchten</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</si>
  <si>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andere: mit einem Wert von 30 € oder weniger für 100 kg Eigengewicht: andere: mit einem Gehalt an zugesetztem Zucker von mehr als 30 GHT: Mischungen von Säften aus tropischen Früchten</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</si>
  <si>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andere: mit einem Wert von 30 € oder weniger für 100 kg Eigengewicht: andere: mit einem Gehalt an zugesetztem Zucker von mehr als 30 GHT: andere</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</si>
  <si>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andere: mit einem Wert von 30 € oder weniger für 100 kg Eigengewicht: andere: mit einem Gehalt an zugesetztem Zucker von mehr als 30 GHT: andere</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</si>
  <si>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andere: mit einem Wert von 30 € oder weniger für 100 kg Eigengewicht: andere: mit einem Gehalt an zugesetztem Zucker von 30 GHT oder weniger: Mischungen von Säften aus tropischen Früchten</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</si>
  <si>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andere: mit einem Wert von 30 € oder weniger für 100 kg Eigengewicht: andere: mit einem Gehalt an zugesetztem Zucker von 30 GHT oder weniger: Mischungen von Säften aus tropischen Früchten</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</si>
  <si>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andere: mit einem Wert von 30 € oder weniger für 100 kg Eigengewicht: andere: mit einem Gehalt an zugesetztem Zucker von 30 GHT oder weniger: andere</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</si>
  <si>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andere: mit einem Wert von 30 € oder weniger für 100 kg Eigengewicht: andere: mit einem Gehalt an zugesetztem Zucker von 30 GHT oder weniger: andere</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</si>
  <si>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andere: mit einem Wert von 30 € oder weniger für 100 kg Eigengewicht: andere: keinen zugesetzten Zucker enthaltend: Mischungen von Säften aus tropischen Früchten</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</si>
  <si>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andere: mit einem Wert von 30 € oder weniger für 100 kg Eigengewicht: andere: keinen zugesetzten Zucker enthaltend: Mischungen von Säften aus tropischen Früchten</t>
  </si>
  <si>
    <t>KAPITEL 20 - ZUBEREITUNGEN VON GEMÜSE, FRÜCHTEN, NÜSSEN ODER ANDEREN PFLANZENTEILEN: Saft aus Früchten, Nüssen (einschließlich Traubenmost und Kokosnusswasser) und Gemüsesäfte, nicht gegoren, ohne Zusatz von Alkohol, auch mit Zusatz von Zucker oder anderen Süßmitteln: Mischungen von Säften: mit einem Brixwert von 67 oder weniger: andere: mit einem Wert von 30 € oder weniger für 100 kg Eigengewicht: andere: keinen zugesetzten Zucker enthaltend: andere</t>
  </si>
  <si>
    <t>KAPITEL 20 - ZUBEREITUNGEN VON GEMÜSE, FRÜCHTEN, NÜSSEN ODER ANDEREN PFLANZENTEILEN: Fruchtsäfte (einschließlich Traubenmost) und Gemüsesäfte, nicht gegoren, ohne Zusatz von Alkohol, auch mit Zusatz von Zucker oder anderen Süßmitteln: Mischungen von Säften: mit einem Brixwert von 67 oder weniger: andere: mit einem Wert von 30 € oder weniger für 100 kg Eigengewicht: andere: keinen zugesetzten Zucker enthaltend: andere</t>
  </si>
  <si>
    <t>Wasser, einschließlich Mineralwasser und kohlensäurehaltiges Wasser, mit Zusatz von Zucker, anderen Süßmitteln oder Aromastoffen</t>
  </si>
  <si>
    <t>KAPITEL 22 - GETRÄNKE, ALKOHOLHALTIGE FLÜSSIGKEITEN UND ESSIG: Wasser, einschließlich Mineralwasser und kohlensäurehaltiges Wasser, mit Zusatz von Zucker, anderen Süßmitteln oder Aromastoffen und andere nicht alkoholhaltige Getränke, ausgenommen Frucht-, Nuss- und Gemüsesäfte der Position 2009: Wasser, einschließlich Mineralwasser und kohlensäurehaltiges Wasser, mit Zusatz von Zucker, anderen Süßmitteln oder Aromastoffen</t>
  </si>
  <si>
    <t>KAPITEL 22 - GETRÄNKE, ALKOHOLHALTIGE FLÜSSIGKEITEN UND ESSIG: Wasser, einschließlich Mineralwasser und kohlensäurehaltiges Wasser, mit Zusatz von Zucker, anderen Süßmitteln oder Aromastoffen, und andere nicht alkoholhaltige Getränke, ausgenommen Frucht- und Gemüsesäfte der Position 2009: Wasser, einschließlich Mineralwasser und kohlensäurehaltiges Wasser, mit Zusatz von Zucker, anderen Süßmitteln oder Aromastoffen</t>
  </si>
  <si>
    <t>alkoholfreies Bier</t>
  </si>
  <si>
    <t>KAPITEL 22 - GETRÄNKE, ALKOHOLHALTIGE FLÜSSIGKEITEN UND ESSIG: Wasser, einschließlich Mineralwasser und kohlensäurehaltiges Wasser, mit Zusatz von Zucker, anderen Süßmitteln oder Aromastoffen und andere nicht alkoholhaltige Getränke, ausgenommen Frucht-, Nuss- und Gemüsesäfte der Position 2009: andere: alkoholfreies Bier</t>
  </si>
  <si>
    <t>KAPITEL 22 - GETRÄNKE, ALKOHOLHALTIGE FLÜSSIGKEITEN UND ESSIG: Wasser, einschließlich Mineralwasser und kohlensäurehaltiges Wasser, mit Zusatz von Zucker, anderen Süßmitteln oder Aromastoffen, und andere nicht alkoholhaltige Getränke, ausgenommen Frucht- und Gemüsesäfte der Position 2009: andere: alkoholfreies Bier</t>
  </si>
  <si>
    <t>Getränke aus Soja mit einem Eiweißgehalt von 2,8 GHT oder mehr</t>
  </si>
  <si>
    <t>KAPITEL 22 - GETRÄNKE, ALKOHOLHALTIGE FLÜSSIGKEITEN UND ESSIG: Wasser, einschließlich Mineralwasser und kohlensäurehaltiges Wasser, mit Zusatz von Zucker, anderen Süßmitteln oder Aromastoffen und andere nicht alkoholhaltige Getränke, ausgenommen Frucht-, Nuss- und Gemüsesäfte der Position 2009: andere: andere: keine Erzeugnisse der Positionen 0401 bis 0404 und keine Fette aus Erzeugnissen der Positionen 0401 bis 0404 enthaltend: Getränke aus Soja mit einem Eiweißgehalt von 2,8 GHT oder mehr</t>
  </si>
  <si>
    <t>KAPITEL 22 - GETRÄNKE, ALKOHOLHALTIGE FLÜSSIGKEITEN UND ESSIG: Wasser, einschließlich Mineralwasser und kohlensäurehaltiges Wasser, mit Zusatz von Zucker, anderen Süßmitteln oder Aromastoffen, und andere nicht alkoholhaltige Getränke, ausgenommen Frucht- und Gemüsesäfte der Position 2009: andere: andere: keine Erzeugnisse der Positionen 0401 bis 0404 und keine Fette aus Erzeugnissen der Positionen 0401 bis 0404 enthaltend: Getränke aus Soja mit einem Eiweißgehalt von 2,8 GHT oder mehr</t>
  </si>
  <si>
    <t>Getränke aus Soja mit einem Eiweißgehalt von weniger als 2,8 GHT, Getränke aus Nüssen des Kapitels 08, Getreide des Kapitels 10 und Samen des Kapitels 12</t>
  </si>
  <si>
    <t>KAPITEL 22 - GETRÄNKE, ALKOHOLHALTIGE FLÜSSIGKEITEN UND ESSIG: Wasser, einschließlich Mineralwasser und kohlensäurehaltiges Wasser, mit Zusatz von Zucker, anderen Süßmitteln oder Aromastoffen und andere nicht alkoholhaltige Getränke, ausgenommen Frucht-, Nuss- und Gemüsesäfte der Position 2009: andere: andere: keine Erzeugnisse der Positionen 0401 bis 0404 und keine Fette aus Erzeugnissen der Positionen 0401 bis 0404 enthaltend: Getränke aus Soja mit einem Eiweißgehalt von weniger als 2,8 GHT, Getränke aus Nüssen des Kapitels 08, Getreide des Kapitels 10 und Samen des Kapitels 12</t>
  </si>
  <si>
    <t>KAPITEL 22 - GETRÄNKE, ALKOHOLHALTIGE FLÜSSIGKEITEN UND ESSIG: Wasser, einschließlich Mineralwasser und kohlensäurehaltiges Wasser, mit Zusatz von Zucker, anderen Süßmitteln oder Aromastoffen, und andere nicht alkoholhaltige Getränke, ausgenommen Frucht- und Gemüsesäfte der Position 2009: andere: andere: keine Erzeugnisse der Positionen 0401 bis 0404 und keine Fette aus Erzeugnissen der Positionen 0401 bis 0404 enthaltend: Getränke aus Soja mit einem Eiweißgehalt von weniger als 2,8 GHT, Getränke aus Nüssen des Kapitels 08, Getreide des Kapitels 10 und Samen des Kapitels 12</t>
  </si>
  <si>
    <t>KAPITEL 22 - GETRÄNKE, ALKOHOLHALTIGE FLÜSSIGKEITEN UND ESSIG: Wasser, einschließlich Mineralwasser und kohlensäurehaltiges Wasser, mit Zusatz von Zucker, anderen Süßmitteln oder Aromastoffen und andere nicht alkoholhaltige Getränke, ausgenommen Frucht-, Nuss- und Gemüsesäfte der Position 2009: andere: andere: keine Erzeugnisse der Positionen 0401 bis 0404 und keine Fette aus Erzeugnissen der Positionen 0401 bis 0404 enthaltend: andere</t>
  </si>
  <si>
    <t>KAPITEL 22 - GETRÄNKE, ALKOHOLHALTIGE FLÜSSIGKEITEN UND ESSIG: Wasser, einschließlich Mineralwasser und kohlensäurehaltiges Wasser, mit Zusatz von Zucker, anderen Süßmitteln oder Aromastoffen, und andere nicht alkoholhaltige Getränke, ausgenommen Frucht- und Gemüsesäfte der Position 2009: andere: andere: keine Erzeugnisse der Positionen 0401 bis 0404 und keine Fette aus Erzeugnissen der Positionen 0401 bis 0404 enthaltend: andere</t>
  </si>
  <si>
    <t>weniger als 0,2 GHT</t>
  </si>
  <si>
    <t>KAPITEL 22 - GETRÄNKE, ALKOHOLHALTIGE FLÜSSIGKEITEN UND ESSIG: Wasser, einschließlich Mineralwasser und kohlensäurehaltiges Wasser, mit Zusatz von Zucker, anderen Süßmitteln oder Aromastoffen und andere nicht alkoholhaltige Getränke, ausgenommen Frucht-, Nuss- und Gemüsesäfte der Position 2009: andere: andere: andere, mit einem Gehalt an Fetten aus Erzeugnissen der Positionen 0401 bis 0404 von: weniger als 0,2 GHT</t>
  </si>
  <si>
    <t>KAPITEL 22 - GETRÄNKE, ALKOHOLHALTIGE FLÜSSIGKEITEN UND ESSIG: Wasser, einschließlich Mineralwasser und kohlensäurehaltiges Wasser, mit Zusatz von Zucker, anderen Süßmitteln oder Aromastoffen, und andere nicht alkoholhaltige Getränke, ausgenommen Frucht- und Gemüsesäfte der Position 2009: andere: andere: andere, mit einem Gehalt an Fetten aus Erzeugnissen der Positionen 0401 bis 0404 von: weniger als 0,2 GHT</t>
  </si>
  <si>
    <t>0,2 oder mehr, jedoch weniger als 2 GHT</t>
  </si>
  <si>
    <t>KAPITEL 22 - GETRÄNKE, ALKOHOLHALTIGE FLÜSSIGKEITEN UND ESSIG: Wasser, einschließlich Mineralwasser und kohlensäurehaltiges Wasser, mit Zusatz von Zucker, anderen Süßmitteln oder Aromastoffen und andere nicht alkoholhaltige Getränke, ausgenommen Frucht-, Nuss- und Gemüsesäfte der Position 2009: andere: andere: andere, mit einem Gehalt an Fetten aus Erzeugnissen der Positionen 0401 bis 0404 von: 0,2 oder mehr, jedoch weniger als 2 GHT</t>
  </si>
  <si>
    <t>KAPITEL 22 - GETRÄNKE, ALKOHOLHALTIGE FLÜSSIGKEITEN UND ESSIG: Wasser, einschließlich Mineralwasser und kohlensäurehaltiges Wasser, mit Zusatz von Zucker, anderen Süßmitteln oder Aromastoffen, und andere nicht alkoholhaltige Getränke, ausgenommen Frucht- und Gemüsesäfte der Position 2009: andere: andere: andere, mit einem Gehalt an Fetten aus Erzeugnissen der Positionen 0401 bis 0404 von: 0,2 oder mehr, jedoch weniger als 2 GHT</t>
  </si>
  <si>
    <t>2 GHT oder mehr</t>
  </si>
  <si>
    <t>KAPITEL 22 - GETRÄNKE, ALKOHOLHALTIGE FLÜSSIGKEITEN UND ESSIG: Wasser, einschließlich Mineralwasser und kohlensäurehaltiges Wasser, mit Zusatz von Zucker, anderen Süßmitteln oder Aromastoffen und andere nicht alkoholhaltige Getränke, ausgenommen Frucht-, Nuss- und Gemüsesäfte der Position 2009: andere: andere: andere, mit einem Gehalt an Fetten aus Erzeugnissen der Positionen 0401 bis 0404 von: 2 GHT oder mehr</t>
  </si>
  <si>
    <t>KAPITEL 22 - GETRÄNKE, ALKOHOLHALTIGE FLÜSSIGKEITEN UND ESSIG: Wasser, einschließlich Mineralwasser und kohlensäurehaltiges Wasser, mit Zusatz von Zucker, anderen Süßmitteln oder Aromastoffen, und andere nicht alkoholhaltige Getränke, ausgenommen Frucht- und Gemüsesäfte der Position 2009: andere: andere: andere, mit einem Gehalt an Fetten aus Erzeugnissen der Positionen 0401 bis 0404 von: 2 GHT oder mehr</t>
  </si>
  <si>
    <t>aus Baumwollsamen</t>
  </si>
  <si>
    <t>KAPITEL 23 - RÜCKSTÄNDE UND ABFÄLLE DER LEBENSMITTELINDUSTRIE; ZUBEREITETES FUTTER: Ölkuchen und andere feste Rückstände aus der Gewinnung pflanzlicher oder mikrobieller Fette oder Öle, auch gemahlen oder in Form von Pellets, ausgenommen Waren der Positionen 2304 und 2305: aus Baumwollsamen</t>
  </si>
  <si>
    <t>KAPITEL 23 - RÜCKSTÄNDE UND ABFÄLLE DER LEBENSMITTELINDUSTRIE; ZUBEREITETES FUTTER: Ölkuchen und andere feste Rückstände aus der Gewinnung pflanzlicher Fette oder Öle, auch gemahlen oder in Form von Pellets, ausgenommen Waren der Positionen 2304 und 2305: aus Baumwollsamen</t>
  </si>
  <si>
    <t>aus Leinsamen</t>
  </si>
  <si>
    <t>KAPITEL 23 - RÜCKSTÄNDE UND ABFÄLLE DER LEBENSMITTELINDUSTRIE; ZUBEREITETES FUTTER: Ölkuchen und andere feste Rückstände aus der Gewinnung pflanzlicher oder mikrobieller Fette oder Öle, auch gemahlen oder in Form von Pellets, ausgenommen Waren der Positionen 2304 und 2305: aus Leinsamen</t>
  </si>
  <si>
    <t>KAPITEL 23 - RÜCKSTÄNDE UND ABFÄLLE DER LEBENSMITTELINDUSTRIE; ZUBEREITETES FUTTER: Ölkuchen und andere feste Rückstände aus der Gewinnung pflanzlicher Fette oder Öle, auch gemahlen oder in Form von Pellets, ausgenommen Waren der Positionen 2304 und 2305: aus Leinsamen</t>
  </si>
  <si>
    <t>aus Sonnenblumenkernen</t>
  </si>
  <si>
    <t>KAPITEL 23 - RÜCKSTÄNDE UND ABFÄLLE DER LEBENSMITTELINDUSTRIE; ZUBEREITETES FUTTER: Ölkuchen und andere feste Rückstände aus der Gewinnung pflanzlicher oder mikrobieller Fette oder Öle, auch gemahlen oder in Form von Pellets, ausgenommen Waren der Positionen 2304 und 2305: aus Sonnenblumenkernen</t>
  </si>
  <si>
    <t>KAPITEL 23 - RÜCKSTÄNDE UND ABFÄLLE DER LEBENSMITTELINDUSTRIE; ZUBEREITETES FUTTER: Ölkuchen und andere feste Rückstände aus der Gewinnung pflanzlicher Fette oder Öle, auch gemahlen oder in Form von Pellets, ausgenommen Waren der Positionen 2304 und 2305: aus Sonnenblumenkernen</t>
  </si>
  <si>
    <t>aus erucasäurearmen Raps- oder Rübsensamen</t>
  </si>
  <si>
    <t>KAPITEL 23 - RÜCKSTÄNDE UND ABFÄLLE DER LEBENSMITTELINDUSTRIE; ZUBEREITETES FUTTER: Ölkuchen und andere feste Rückstände aus der Gewinnung pflanzlicher oder mikrobieller Fette oder Öle, auch gemahlen oder in Form von Pellets, ausgenommen Waren der Positionen 2304 und 2305: aus Raps- oder Rübsensamen: aus erucasäurearmen Raps- oder Rübsensamen</t>
  </si>
  <si>
    <t>KAPITEL 23 - RÜCKSTÄNDE UND ABFÄLLE DER LEBENSMITTELINDUSTRIE; ZUBEREITETES FUTTER: Ölkuchen und andere feste Rückstände aus der Gewinnung pflanzlicher Fette oder Öle, auch gemahlen oder in Form von Pellets, ausgenommen Waren der Positionen 2304 und 2305: aus Raps- oder Rübsensamen: aus erucasäurearmen Raps- oder Rübsensamen</t>
  </si>
  <si>
    <t>KAPITEL 23 - RÜCKSTÄNDE UND ABFÄLLE DER LEBENSMITTELINDUSTRIE; ZUBEREITETES FUTTER: Ölkuchen und andere feste Rückstände aus der Gewinnung pflanzlicher oder mikrobieller Fette oder Öle, auch gemahlen oder in Form von Pellets, ausgenommen Waren der Positionen 2304 und 2305: aus Raps- oder Rübsensamen: andere</t>
  </si>
  <si>
    <t>KAPITEL 23 - RÜCKSTÄNDE UND ABFÄLLE DER LEBENSMITTELINDUSTRIE; ZUBEREITETES FUTTER: Ölkuchen und andere feste Rückstände aus der Gewinnung pflanzlicher Fette oder Öle, auch gemahlen oder in Form von Pellets, ausgenommen Waren der Positionen 2304 und 2305: aus Raps- oder Rübsensamen: andere</t>
  </si>
  <si>
    <t>aus Kokosnüssen (Kopra)</t>
  </si>
  <si>
    <t>KAPITEL 23 - RÜCKSTÄNDE UND ABFÄLLE DER LEBENSMITTELINDUSTRIE; ZUBEREITETES FUTTER: Ölkuchen und andere feste Rückstände aus der Gewinnung pflanzlicher oder mikrobieller Fette oder Öle, auch gemahlen oder in Form von Pellets, ausgenommen Waren der Positionen 2304 und 2305: aus Kokosnüssen (Kopra)</t>
  </si>
  <si>
    <t>KAPITEL 23 - RÜCKSTÄNDE UND ABFÄLLE DER LEBENSMITTELINDUSTRIE; ZUBEREITETES FUTTER: Ölkuchen und andere feste Rückstände aus der Gewinnung pflanzlicher Fette oder Öle, auch gemahlen oder in Form von Pellets, ausgenommen Waren der Positionen 2304 und 2305: aus Kokosnüssen (Kopra)</t>
  </si>
  <si>
    <t>aus Palmnüssen oder Palmkernen</t>
  </si>
  <si>
    <t>KAPITEL 23 - RÜCKSTÄNDE UND ABFÄLLE DER LEBENSMITTELINDUSTRIE; ZUBEREITETES FUTTER: Ölkuchen und andere feste Rückstände aus der Gewinnung pflanzlicher oder mikrobieller Fette oder Öle, auch gemahlen oder in Form von Pellets, ausgenommen Waren der Positionen 2304 und 2305: aus Palmnüssen oder Palmkernen</t>
  </si>
  <si>
    <t>KAPITEL 23 - RÜCKSTÄNDE UND ABFÄLLE DER LEBENSMITTELINDUSTRIE; ZUBEREITETES FUTTER: Ölkuchen und andere feste Rückstände aus der Gewinnung pflanzlicher Fette oder Öle, auch gemahlen oder in Form von Pellets, ausgenommen Waren der Positionen 2304 und 2305: aus Palmnüssen oder Palmkernen</t>
  </si>
  <si>
    <t>aus Maiskeimen</t>
  </si>
  <si>
    <t>KAPITEL 23 - RÜCKSTÄNDE UND ABFÄLLE DER LEBENSMITTELINDUSTRIE; ZUBEREITETES FUTTER: Ölkuchen und andere feste Rückstände aus der Gewinnung pflanzlicher oder mikrobieller Fette oder Öle, auch gemahlen oder in Form von Pellets, ausgenommen Waren der Positionen 2304 und 2305: andere: aus Maiskeimen</t>
  </si>
  <si>
    <t>KAPITEL 23 - RÜCKSTÄNDE UND ABFÄLLE DER LEBENSMITTELINDUSTRIE; ZUBEREITETES FUTTER: Ölkuchen und andere feste Rückstände aus der Gewinnung pflanzlicher Fette oder Öle, auch gemahlen oder in Form von Pellets, ausgenommen Waren der Positionen 2304 und 2305: andere: aus Maiskeimen</t>
  </si>
  <si>
    <t>mit einem Gehalt an Olivenöl von 3 GHT oder weniger</t>
  </si>
  <si>
    <t>KAPITEL 23 - RÜCKSTÄNDE UND ABFÄLLE DER LEBENSMITTELINDUSTRIE; ZUBEREITETES FUTTER: Ölkuchen und andere feste Rückstände aus der Gewinnung pflanzlicher oder mikrobieller Fette oder Öle, auch gemahlen oder in Form von Pellets, ausgenommen Waren der Positionen 2304 und 2305: andere: andere: Olivenölkuchen und andere Rückstände aus der Gewinnung von Olivenöl: mit einem Gehalt an Olivenöl von 3 GHT oder weniger</t>
  </si>
  <si>
    <t>KAPITEL 23 - RÜCKSTÄNDE UND ABFÄLLE DER LEBENSMITTELINDUSTRIE; ZUBEREITETES FUTTER: Ölkuchen und andere feste Rückstände aus der Gewinnung pflanzlicher Fette oder Öle, auch gemahlen oder in Form von Pellets, ausgenommen Waren der Positionen 2304 und 2305: andere: andere: Olivenölkuchen und andere Rückstände aus der Gewinnung von Olivenöl: mit einem Gehalt an Olivenöl von 3 GHT oder weniger</t>
  </si>
  <si>
    <t>mit einem Gehalt an Olivenöl von mehr als 3 GHT</t>
  </si>
  <si>
    <t>KAPITEL 23 - RÜCKSTÄNDE UND ABFÄLLE DER LEBENSMITTELINDUSTRIE; ZUBEREITETES FUTTER: Ölkuchen und andere feste Rückstände aus der Gewinnung pflanzlicher oder mikrobieller Fette oder Öle, auch gemahlen oder in Form von Pellets, ausgenommen Waren der Positionen 2304 und 2305: andere: andere: Olivenölkuchen und andere Rückstände aus der Gewinnung von Olivenöl: mit einem Gehalt an Olivenöl von mehr als 3 GHT</t>
  </si>
  <si>
    <t>KAPITEL 23 - RÜCKSTÄNDE UND ABFÄLLE DER LEBENSMITTELINDUSTRIE; ZUBEREITETES FUTTER: Ölkuchen und andere feste Rückstände aus der Gewinnung pflanzlicher Fette oder Öle, auch gemahlen oder in Form von Pellets, ausgenommen Waren der Positionen 2304 und 2305: andere: andere: Olivenölkuchen und andere Rückstände aus der Gewinnung von Olivenöl: mit einem Gehalt an Olivenöl von mehr als 3 GHT</t>
  </si>
  <si>
    <t>KAPITEL 23 - RÜCKSTÄNDE UND ABFÄLLE DER LEBENSMITTELINDUSTRIE; ZUBEREITETES FUTTER: Ölkuchen und andere feste Rückstände aus der Gewinnung pflanzlicher oder mikrobieller Fette oder Öle, auch gemahlen oder in Form von Pellets, ausgenommen Waren der Positionen 2304 und 2305: andere: andere: andere</t>
  </si>
  <si>
    <t>KAPITEL 23 - RÜCKSTÄNDE UND ABFÄLLE DER LEBENSMITTELINDUSTRIE; ZUBEREITETES FUTTER: Ölkuchen und andere feste Rückstände aus der Gewinnung pflanzlicher Fette oder Öle, auch gemahlen oder in Form von Pellets, ausgenommen Waren der Positionen 2304 und 2305: andere: andere: andere</t>
  </si>
  <si>
    <t>„light-air-cured“ Tabak</t>
  </si>
  <si>
    <t>KAPITEL 24 - TABAK UND VERARBEITETE TABAKERSATZSTOFFE; ERZEUGNISSE, AUCH NIKOTINHALTIG, DIE ZUR INHALATION OHNE VERBRENNUNG BESTIMMT SIND; ANDERE NIKOTINHALTIGE ERZEUGNISSE, DIE ZUR NIKOTINAUFNAHME IN DEN MENSCHLICHEN KÖRPER BESTIMMT SIND: Tabak, unverarbeitet; Tabakabfälle: Tabak, nicht entrippt: „light-air-cured“ Tabak</t>
  </si>
  <si>
    <t>KAPITEL 24 - TABAK UND VERARBEITETE TABAKERSATZSTOFFE: Tabak, unverarbeitet; Tabakabfälle: Tabak, nicht entrippt: „light-air-cured“ Tabak</t>
  </si>
  <si>
    <t>„sun-cured“ Orienttabak</t>
  </si>
  <si>
    <t>KAPITEL 24 - TABAK UND VERARBEITETE TABAKERSATZSTOFFE; ERZEUGNISSE, AUCH NIKOTINHALTIG, DIE ZUR INHALATION OHNE VERBRENNUNG BESTIMMT SIND; ANDERE NIKOTINHALTIGE ERZEUGNISSE, DIE ZUR NIKOTINAUFNAHME IN DEN MENSCHLICHEN KÖRPER BESTIMMT SIND: Tabak, unverarbeitet; Tabakabfälle: Tabak, nicht entrippt: „sun-cured“ Orienttabak</t>
  </si>
  <si>
    <t>KAPITEL 24 - TABAK UND VERARBEITETE TABAKERSATZSTOFFE: Tabak, unverarbeitet; Tabakabfälle: Tabak, nicht entrippt: „sun-cured“ Orienttabak</t>
  </si>
  <si>
    <t>„dark-air-cured“ Tabak</t>
  </si>
  <si>
    <t>KAPITEL 24 - TABAK UND VERARBEITETE TABAKERSATZSTOFFE; ERZEUGNISSE, AUCH NIKOTINHALTIG, DIE ZUR INHALATION OHNE VERBRENNUNG BESTIMMT SIND; ANDERE NIKOTINHALTIGE ERZEUGNISSE, DIE ZUR NIKOTINAUFNAHME IN DEN MENSCHLICHEN KÖRPER BESTIMMT SIND: Tabak, unverarbeitet; Tabakabfälle: Tabak, nicht entrippt: „dark-air-cured“ Tabak</t>
  </si>
  <si>
    <t>KAPITEL 24 - TABAK UND VERARBEITETE TABAKERSATZSTOFFE: Tabak, unverarbeitet; Tabakabfälle: Tabak, nicht entrippt: „dark-air-cured“ Tabak</t>
  </si>
  <si>
    <t>„flue-cured“ Tabak</t>
  </si>
  <si>
    <t>KAPITEL 24 - TABAK UND VERARBEITETE TABAKERSATZSTOFFE; ERZEUGNISSE, AUCH NIKOTINHALTIG, DIE ZUR INHALATION OHNE VERBRENNUNG BESTIMMT SIND; ANDERE NIKOTINHALTIGE ERZEUGNISSE, DIE ZUR NIKOTINAUFNAHME IN DEN MENSCHLICHEN KÖRPER BESTIMMT SIND: Tabak, unverarbeitet; Tabakabfälle: Tabak, nicht entrippt: „flue-cured“ Tabak</t>
  </si>
  <si>
    <t>KAPITEL 24 - TABAK UND VERARBEITETE TABAKERSATZSTOFFE: Tabak, unverarbeitet; Tabakabfälle: Tabak, nicht entrippt: „flue-cured“ Tabak</t>
  </si>
  <si>
    <t>KAPITEL 24 - TABAK UND VERARBEITETE TABAKERSATZSTOFFE; ERZEUGNISSE, AUCH NIKOTINHALTIG, DIE ZUR INHALATION OHNE VERBRENNUNG BESTIMMT SIND; ANDERE NIKOTINHALTIGE ERZEUGNISSE, DIE ZUR NIKOTINAUFNAHME IN DEN MENSCHLICHEN KÖRPER BESTIMMT SIND: Tabak, unverarbeitet; Tabakabfälle: Tabak, nicht entrippt: anderer</t>
  </si>
  <si>
    <t>KAPITEL 24 - TABAK UND VERARBEITETE TABAKERSATZSTOFFE: Tabak, unverarbeitet; Tabakabfälle: Tabak, nicht entrippt: anderer</t>
  </si>
  <si>
    <t>KAPITEL 24 - TABAK UND VERARBEITETE TABAKERSATZSTOFFE; ERZEUGNISSE, AUCH NIKOTINHALTIG, DIE ZUR INHALATION OHNE VERBRENNUNG BESTIMMT SIND; ANDERE NIKOTINHALTIGE ERZEUGNISSE, DIE ZUR NIKOTINAUFNAHME IN DEN MENSCHLICHEN KÖRPER BESTIMMT SIND: Tabak, unverarbeitet; Tabakabfälle: Tabak, teilweise oder ganz entrippt: „light-air-cured“ Tabak</t>
  </si>
  <si>
    <t>KAPITEL 24 - TABAK UND VERARBEITETE TABAKERSATZSTOFFE: Tabak, unverarbeitet; Tabakabfälle: Tabak, teilweise oder ganz entrippt: „light-air-cured“ Tabak</t>
  </si>
  <si>
    <t>KAPITEL 24 - TABAK UND VERARBEITETE TABAKERSATZSTOFFE; ERZEUGNISSE, AUCH NIKOTINHALTIG, DIE ZUR INHALATION OHNE VERBRENNUNG BESTIMMT SIND; ANDERE NIKOTINHALTIGE ERZEUGNISSE, DIE ZUR NIKOTINAUFNAHME IN DEN MENSCHLICHEN KÖRPER BESTIMMT SIND: Tabak, unverarbeitet; Tabakabfälle: Tabak, teilweise oder ganz entrippt: „sun-cured“ Orienttabak</t>
  </si>
  <si>
    <t>KAPITEL 24 - TABAK UND VERARBEITETE TABAKERSATZSTOFFE: Tabak, unverarbeitet; Tabakabfälle: Tabak, teilweise oder ganz entrippt: „sun-cured“ Orienttabak</t>
  </si>
  <si>
    <t>KAPITEL 24 - TABAK UND VERARBEITETE TABAKERSATZSTOFFE; ERZEUGNISSE, AUCH NIKOTINHALTIG, DIE ZUR INHALATION OHNE VERBRENNUNG BESTIMMT SIND; ANDERE NIKOTINHALTIGE ERZEUGNISSE, DIE ZUR NIKOTINAUFNAHME IN DEN MENSCHLICHEN KÖRPER BESTIMMT SIND: Tabak, unverarbeitet; Tabakabfälle: Tabak, teilweise oder ganz entrippt: „dark-air-cured“ Tabak</t>
  </si>
  <si>
    <t>KAPITEL 24 - TABAK UND VERARBEITETE TABAKERSATZSTOFFE: Tabak, unverarbeitet; Tabakabfälle: Tabak, teilweise oder ganz entrippt: „dark-air-cured“ Tabak</t>
  </si>
  <si>
    <t>KAPITEL 24 - TABAK UND VERARBEITETE TABAKERSATZSTOFFE; ERZEUGNISSE, AUCH NIKOTINHALTIG, DIE ZUR INHALATION OHNE VERBRENNUNG BESTIMMT SIND; ANDERE NIKOTINHALTIGE ERZEUGNISSE, DIE ZUR NIKOTINAUFNAHME IN DEN MENSCHLICHEN KÖRPER BESTIMMT SIND: Tabak, unverarbeitet; Tabakabfälle: Tabak, teilweise oder ganz entrippt: „flue-cured“ Tabak</t>
  </si>
  <si>
    <t>KAPITEL 24 - TABAK UND VERARBEITETE TABAKERSATZSTOFFE: Tabak, unverarbeitet; Tabakabfälle: Tabak, teilweise oder ganz entrippt: „flue-cured“ Tabak</t>
  </si>
  <si>
    <t>KAPITEL 24 - TABAK UND VERARBEITETE TABAKERSATZSTOFFE; ERZEUGNISSE, AUCH NIKOTINHALTIG, DIE ZUR INHALATION OHNE VERBRENNUNG BESTIMMT SIND; ANDERE NIKOTINHALTIGE ERZEUGNISSE, DIE ZUR NIKOTINAUFNAHME IN DEN MENSCHLICHEN KÖRPER BESTIMMT SIND: Tabak, unverarbeitet; Tabakabfälle: Tabak, teilweise oder ganz entrippt: anderer</t>
  </si>
  <si>
    <t>KAPITEL 24 - TABAK UND VERARBEITETE TABAKERSATZSTOFFE: Tabak, unverarbeitet; Tabakabfälle: Tabak, teilweise oder ganz entrippt: anderer</t>
  </si>
  <si>
    <t>Tabakabfälle</t>
  </si>
  <si>
    <t>KAPITEL 24 - TABAK UND VERARBEITETE TABAKERSATZSTOFFE; ERZEUGNISSE, AUCH NIKOTINHALTIG, DIE ZUR INHALATION OHNE VERBRENNUNG BESTIMMT SIND; ANDERE NIKOTINHALTIGE ERZEUGNISSE, DIE ZUR NIKOTINAUFNAHME IN DEN MENSCHLICHEN KÖRPER BESTIMMT SIND: Tabak, unverarbeitet; Tabakabfälle: Tabakabfälle</t>
  </si>
  <si>
    <t>KAPITEL 24 - TABAK UND VERARBEITETE TABAKERSATZSTOFFE: Tabak, unverarbeitet; Tabakabfälle: Tabakabfälle</t>
  </si>
  <si>
    <t>Zigarren (einschließlich Stumpen) und Zigarillos, Tabak enthaltend</t>
  </si>
  <si>
    <t>KAPITEL 24 - TABAK UND VERARBEITETE TABAKERSATZSTOFFE; ERZEUGNISSE, AUCH NIKOTINHALTIG, DIE ZUR INHALATION OHNE VERBRENNUNG BESTIMMT SIND; ANDERE NIKOTINHALTIGE ERZEUGNISSE, DIE ZUR NIKOTINAUFNAHME IN DEN MENSCHLICHEN KÖRPER BESTIMMT SIND: Zigarren (einschließlich Stumpen), Zigarillos und Zigaretten, aus Tabak oder Tabakersatzstoffen: Zigarren (einschließlich Stumpen) und Zigarillos, Tabak enthaltend</t>
  </si>
  <si>
    <t>KAPITEL 24 - TABAK UND VERARBEITETE TABAKERSATZSTOFFE: Zigarren (einschließlich Stumpen), Zigarillos und Zigaretten, aus Tabak oder Tabakersatzstoffen: Zigarren (einschließlich Stumpen) und Zigarillos, Tabak enthaltend</t>
  </si>
  <si>
    <t>Nelken enthaltend</t>
  </si>
  <si>
    <t>KAPITEL 24 - TABAK UND VERARBEITETE TABAKERSATZSTOFFE; ERZEUGNISSE, AUCH NIKOTINHALTIG, DIE ZUR INHALATION OHNE VERBRENNUNG BESTIMMT SIND; ANDERE NIKOTINHALTIGE ERZEUGNISSE, DIE ZUR NIKOTINAUFNAHME IN DEN MENSCHLICHEN KÖRPER BESTIMMT SIND: Zigarren (einschließlich Stumpen), Zigarillos und Zigaretten, aus Tabak oder Tabakersatzstoffen: Zigaretten, Tabak enthaltend: Nelken enthaltend</t>
  </si>
  <si>
    <t>KAPITEL 24 - TABAK UND VERARBEITETE TABAKERSATZSTOFFE: Zigarren (einschließlich Stumpen), Zigarillos und Zigaretten, aus Tabak oder Tabakersatzstoffen: Zigaretten, Tabak enthaltend: Nelken enthaltend</t>
  </si>
  <si>
    <t>KAPITEL 24 - TABAK UND VERARBEITETE TABAKERSATZSTOFFE; ERZEUGNISSE, AUCH NIKOTINHALTIG, DIE ZUR INHALATION OHNE VERBRENNUNG BESTIMMT SIND; ANDERE NIKOTINHALTIGE ERZEUGNISSE, DIE ZUR NIKOTINAUFNAHME IN DEN MENSCHLICHEN KÖRPER BESTIMMT SIND: Zigarren (einschließlich Stumpen), Zigarillos und Zigaretten, aus Tabak oder Tabakersatzstoffen: Zigaretten, Tabak enthaltend: andere</t>
  </si>
  <si>
    <t>KAPITEL 24 - TABAK UND VERARBEITETE TABAKERSATZSTOFFE: Zigarren (einschließlich Stumpen), Zigarillos und Zigaretten, aus Tabak oder Tabakersatzstoffen: Zigaretten, Tabak enthaltend: andere</t>
  </si>
  <si>
    <t>KAPITEL 24 - TABAK UND VERARBEITETE TABAKERSATZSTOFFE; ERZEUGNISSE, AUCH NIKOTINHALTIG, DIE ZUR INHALATION OHNE VERBRENNUNG BESTIMMT SIND; ANDERE NIKOTINHALTIGE ERZEUGNISSE, DIE ZUR NIKOTINAUFNAHME IN DEN MENSCHLICHEN KÖRPER BESTIMMT SIND: Zigarren (einschließlich Stumpen), Zigarillos und Zigaretten, aus Tabak oder Tabakersatzstoffen: andere</t>
  </si>
  <si>
    <t>KAPITEL 24 - TABAK UND VERARBEITETE TABAKERSATZSTOFFE: Zigarren (einschließlich Stumpen), Zigarillos und Zigaretten, aus Tabak oder Tabakersatzstoffen: andere</t>
  </si>
  <si>
    <t>Wasserpfeifentabak im Sinne der Unterpositions-Anmerkung 1 zu diesem Kapitel</t>
  </si>
  <si>
    <t>KAPITEL 24 - TABAK UND VERARBEITETE TABAKERSATZSTOFFE; ERZEUGNISSE, AUCH NIKOTINHALTIG, DIE ZUR INHALATION OHNE VERBRENNUNG BESTIMMT SIND; ANDERE NIKOTINHALTIGE ERZEUGNISSE, DIE ZUR NIKOTINAUFNAHME IN DEN MENSCHLICHEN KÖRPER BESTIMMT SIND: Anderer verarbeiteter Tabak und andere verarbeitete Tabakersatzstoffe; „homogenisierter“ oder „rekonstituierter“ Tabak; Tabakauszüge und Tabaksoßen: Rauchtabak, auch mit einem beliebigen Anteil an  Tabakersatzstoffen: Wasserpfeifentabak im Sinne der Unterpositions-Anmerkung 1 zu diesem Kapitel</t>
  </si>
  <si>
    <t>KAPITEL 24 - TABAK UND VERARBEITETE TABAKERSATZSTOFFE: Anderer verarbeiteter Tabak und andere verarbeitete Tabakersatzstoffe; „homogenisierter“ oder „rekonstituierter“ Tabak; Tabakauszüge und Tabaksoßen: Rauchtabak, auch mit einem beliebigen Anteil an  Tabakersatzstoffen: Wasserpfeifentabak im Sinne der Unterpositions-Anmerkung 1 zu diesem Kapitel</t>
  </si>
  <si>
    <t>in unmittelbaren Umschließungen mit einem Gewicht des Inhalts von 500 g oder weniger</t>
  </si>
  <si>
    <t>KAPITEL 24 - TABAK UND VERARBEITETE TABAKERSATZSTOFFE; ERZEUGNISSE, AUCH NIKOTINHALTIG, DIE ZUR INHALATION OHNE VERBRENNUNG BESTIMMT SIND; ANDERE NIKOTINHALTIGE ERZEUGNISSE, DIE ZUR NIKOTINAUFNAHME IN DEN MENSCHLICHEN KÖRPER BESTIMMT SIND: Anderer verarbeiteter Tabak und andere verarbeitete Tabakersatzstoffe; „homogenisierter“ oder „rekonstituierter“ Tabak; Tabakauszüge und Tabaksoßen: Rauchtabak, auch mit einem beliebigen Anteil an  Tabakersatzstoffen: anderer: in unmittelbaren Umschließungen mit einem Gewicht des Inhalts von 500 g oder weniger</t>
  </si>
  <si>
    <t>KAPITEL 24 - TABAK UND VERARBEITETE TABAKERSATZSTOFFE: Anderer verarbeiteter Tabak und andere verarbeitete Tabakersatzstoffe; „homogenisierter“ oder „rekonstituierter“ Tabak; Tabakauszüge und Tabaksoßen: Rauchtabak, auch mit einem beliebigen Anteil an  Tabakersatzstoffen: anderer: in unmittelbaren Umschließungen mit einem Gewicht des Inhalts von 500 g oder weniger</t>
  </si>
  <si>
    <t>KAPITEL 24 - TABAK UND VERARBEITETE TABAKERSATZSTOFFE; ERZEUGNISSE, AUCH NIKOTINHALTIG, DIE ZUR INHALATION OHNE VERBRENNUNG BESTIMMT SIND; ANDERE NIKOTINHALTIGE ERZEUGNISSE, DIE ZUR NIKOTINAUFNAHME IN DEN MENSCHLICHEN KÖRPER BESTIMMT SIND: Anderer verarbeiteter Tabak und andere verarbeitete Tabakersatzstoffe; „homogenisierter“ oder „rekonstituierter“ Tabak; Tabakauszüge und Tabaksoßen: Rauchtabak, auch mit einem beliebigen Anteil an  Tabakersatzstoffen: anderer: anderer</t>
  </si>
  <si>
    <t>KAPITEL 24 - TABAK UND VERARBEITETE TABAKERSATZSTOFFE: Anderer verarbeiteter Tabak und andere verarbeitete Tabakersatzstoffe; „homogenisierter“ oder „rekonstituierter“ Tabak; Tabakauszüge und Tabaksoßen: Rauchtabak, auch mit einem beliebigen Anteil an  Tabakersatzstoffen: anderer: anderer</t>
  </si>
  <si>
    <t>„homogenisierter“ oder „rekonstituierter“ Tabak</t>
  </si>
  <si>
    <t>KAPITEL 24 - TABAK UND VERARBEITETE TABAKERSATZSTOFFE; ERZEUGNISSE, AUCH NIKOTINHALTIG, DIE ZUR INHALATION OHNE VERBRENNUNG BESTIMMT SIND; ANDERE NIKOTINHALTIGE ERZEUGNISSE, DIE ZUR NIKOTINAUFNAHME IN DEN MENSCHLICHEN KÖRPER BESTIMMT SIND: Anderer verarbeiteter Tabak und andere verarbeitete Tabakersatzstoffe; „homogenisierter“ oder „rekonstituierter“ Tabak; Tabakauszüge und Tabaksoßen: andere: „homogenisierter“ oder „rekonstituierter“ Tabak</t>
  </si>
  <si>
    <t>KAPITEL 24 - TABAK UND VERARBEITETE TABAKERSATZSTOFFE: Anderer verarbeiteter Tabak und andere verarbeitete Tabakersatzstoffe; „homogenisierter“ oder „rekonstituierter“ Tabak; Tabakauszüge und Tabaksoßen: andere: „homogenisierter“ oder „rekonstituierter“ Tabak</t>
  </si>
  <si>
    <t>Kautabak und Schnupftabak (über die Nase konsumierter Tabak)</t>
  </si>
  <si>
    <t>KAPITEL 24 - TABAK UND VERARBEITETE TABAKERSATZSTOFFE; ERZEUGNISSE, AUCH NIKOTINHALTIG, DIE ZUR INHALATION OHNE VERBRENNUNG BESTIMMT SIND; ANDERE NIKOTINHALTIGE ERZEUGNISSE, DIE ZUR NIKOTINAUFNAHME IN DEN MENSCHLICHEN KÖRPER BESTIMMT SIND: Anderer verarbeiteter Tabak und andere verarbeitete Tabakersatzstoffe; „homogenisierter“ oder „rekonstituierter“ Tabak; Tabakauszüge und Tabaksoßen: andere: andere: Kautabak und Schnupftabak (über die Nase konsumierter Tabak)</t>
  </si>
  <si>
    <t>KAPITEL 24 - TABAK UND VERARBEITETE TABAKERSATZSTOFFE: Anderer verarbeiteter Tabak und andere verarbeitete Tabakersatzstoffe; „homogenisierter“ oder „rekonstituierter“ Tabak; Tabakauszüge und Tabaksoßen: andere: andere: Kautabak und Schnupftabak (über die Nase konsumierter Tabak)</t>
  </si>
  <si>
    <t>KAPITEL 24 - TABAK UND VERARBEITETE TABAKERSATZSTOFFE; ERZEUGNISSE, AUCH NIKOTINHALTIG, DIE ZUR INHALATION OHNE VERBRENNUNG BESTIMMT SIND; ANDERE NIKOTINHALTIGE ERZEUGNISSE, DIE ZUR NIKOTINAUFNAHME IN DEN MENSCHLICHEN KÖRPER BESTIMMT SIND: Anderer verarbeiteter Tabak und andere verarbeitete Tabakersatzstoffe; „homogenisierter“ oder „rekonstituierter“ Tabak; Tabakauszüge und Tabaksoßen: andere: andere: andere</t>
  </si>
  <si>
    <t>KAPITEL 24 - TABAK UND VERARBEITETE TABAKERSATZSTOFFE: Anderer verarbeiteter Tabak und andere verarbeitete Tabakersatzstoffe; „homogenisierter“ oder „rekonstituierter“ Tabak; Tabakauszüge und Tabaksoßen: andere: andere: andere</t>
  </si>
  <si>
    <t>Dolomit, weder gebrannt noch gesintert</t>
  </si>
  <si>
    <t>KAPITEL 25 - SALZ; SCHWEFEL; STEINE UND ERDEN; GIPS, KALK UND ZEMENT: Dolomit, auch gebrannt oder gesintert, einschließlich Dolomit, grob behauen oder durch Sägen oder auf andere Weise lediglich zerteilt, in Blöcken oder in quadratischen oder rechteckigen Platten: Dolomit, weder gebrannt noch gesintert</t>
  </si>
  <si>
    <t>KAPITEL 25 - SALZ; SCHWEFEL; STEINE UND ERDEN; GIPS, KALK UND ZEMENT: Dolomit, auch gebrannt oder gesintert, einschließlich Dolomit, grob behauen oder durch Sägen oder auf andere Weise lediglich zerteilt, in Blöcken oder in quadratischen oder rechteckigen Platten; Dolomitstampfmasse: Dolomit, weder gebrannt noch gesintert</t>
  </si>
  <si>
    <t>Dolomit, gebrannt oder gesintert</t>
  </si>
  <si>
    <t>KAPITEL 25 - SALZ; SCHWEFEL; STEINE UND ERDEN; GIPS, KALK UND ZEMENT: Dolomit, auch gebrannt oder gesintert, einschließlich Dolomit, grob behauen oder durch Sägen oder auf andere Weise lediglich zerteilt, in Blöcken oder in quadratischen oder rechteckigen Platten: Dolomit, gebrannt oder gesintert</t>
  </si>
  <si>
    <t>KAPITEL 25 - SALZ; SCHWEFEL; STEINE UND ERDEN; GIPS, KALK UND ZEMENT: Dolomit, auch gebrannt oder gesintert, einschließlich Dolomit, grob behauen oder durch Sägen oder auf andere Weise lediglich zerteilt, in Blöcken oder in quadratischen oder rechteckigen Platten; Dolomitstampfmasse: Dolomit, gebrannt oder gesintert</t>
  </si>
  <si>
    <t>Chlordifluormethan (HFCKW-22)</t>
  </si>
  <si>
    <t>Chlordifluormethan</t>
  </si>
  <si>
    <t>KAPITEL 29 - ORGANISCHE CHEMISCHE ERZEUGNISSE: Halogenderivate der Kohlenwasserstoffe: Halogenderivate der acyclischen Kohlenwasserstoffe mit zwei oder mehr verschiedenen Halogenen: Chlordifluormethan (HFCKW-22)</t>
  </si>
  <si>
    <t>KAPITEL 29 - ORGANISCHE CHEMISCHE ERZEUGNISSE: Halogenderivate der Kohlenwasserstoffe: Halogenderivate der acyclischen Kohlenwasserstoffe mit zwei oder mehr verschiedenen Halogenen: Chlordifluormethan</t>
  </si>
  <si>
    <t>Dichlortrifluorethane (HFCKW-123)</t>
  </si>
  <si>
    <t>Dichlortrifluorethane</t>
  </si>
  <si>
    <t>KAPITEL 29 - ORGANISCHE CHEMISCHE ERZEUGNISSE: Halogenderivate der Kohlenwasserstoffe: Halogenderivate der acyclischen Kohlenwasserstoffe mit zwei oder mehr verschiedenen Halogenen: Dichlortrifluorethane (HFCKW-123)</t>
  </si>
  <si>
    <t>KAPITEL 29 - ORGANISCHE CHEMISCHE ERZEUGNISSE: Halogenderivate der Kohlenwasserstoffe: Halogenderivate der acyclischen Kohlenwasserstoffe mit zwei oder mehr verschiedenen Halogenen: Dichlortrifluorethane</t>
  </si>
  <si>
    <t>Dichlorfluorethane (HFCKW-141, 141b)</t>
  </si>
  <si>
    <t>Dichlorfluorethane</t>
  </si>
  <si>
    <t>KAPITEL 29 - ORGANISCHE CHEMISCHE ERZEUGNISSE: Halogenderivate der Kohlenwasserstoffe: Halogenderivate der acyclischen Kohlenwasserstoffe mit zwei oder mehr verschiedenen Halogenen: Dichlorfluorethane (HFCKW-141, 141b)</t>
  </si>
  <si>
    <t>KAPITEL 29 - ORGANISCHE CHEMISCHE ERZEUGNISSE: Halogenderivate der Kohlenwasserstoffe: Halogenderivate der acyclischen Kohlenwasserstoffe mit zwei oder mehr verschiedenen Halogenen: Dichlorfluorethane</t>
  </si>
  <si>
    <t>Chlordifluorethane (HFCKW-142, 142b)</t>
  </si>
  <si>
    <t>Chlordifluorethane</t>
  </si>
  <si>
    <t>KAPITEL 29 - ORGANISCHE CHEMISCHE ERZEUGNISSE: Halogenderivate der Kohlenwasserstoffe: Halogenderivate der acyclischen Kohlenwasserstoffe mit zwei oder mehr verschiedenen Halogenen: Chlordifluorethane (HFCKW-142, 142b)</t>
  </si>
  <si>
    <t>KAPITEL 29 - ORGANISCHE CHEMISCHE ERZEUGNISSE: Halogenderivate der Kohlenwasserstoffe: Halogenderivate der acyclischen Kohlenwasserstoffe mit zwei oder mehr verschiedenen Halogenen: Chlordifluorethane</t>
  </si>
  <si>
    <t>Dichlorpentafluorpropane (HFCKW-225, 225ca, 225cb)</t>
  </si>
  <si>
    <t>Dichlorpentafluorpropane</t>
  </si>
  <si>
    <t>KAPITEL 29 - ORGANISCHE CHEMISCHE ERZEUGNISSE: Halogenderivate der Kohlenwasserstoffe: Halogenderivate der acyclischen Kohlenwasserstoffe mit zwei oder mehr verschiedenen Halogenen: Dichlorpentafluorpropane (HFCKW-225, 225ca, 225cb)</t>
  </si>
  <si>
    <t>KAPITEL 29 - ORGANISCHE CHEMISCHE ERZEUGNISSE: Halogenderivate der Kohlenwasserstoffe: Halogenderivate der acyclischen Kohlenwasserstoffe mit zwei oder mehr verschiedenen Halogenen: Dichlorpentafluorpropane</t>
  </si>
  <si>
    <t>Bromchlordifluormethan (Halon 1211)</t>
  </si>
  <si>
    <t>Bromchlordifluormethan</t>
  </si>
  <si>
    <t>KAPITEL 29 - ORGANISCHE CHEMISCHE ERZEUGNISSE: Halogenderivate der Kohlenwasserstoffe: Halogenderivate der acyclischen Kohlenwasserstoffe mit zwei oder mehr verschiedenen Halogenen: Bromchlordifluormethan (Halon 1211), Bromtrifluormethan (Halon 1301) und Dibromtetrafluorethane (Halon 2402): Bromchlordifluormethan (Halon 1211)</t>
  </si>
  <si>
    <t>KAPITEL 29 - ORGANISCHE CHEMISCHE ERZEUGNISSE: Halogenderivate der Kohlenwasserstoffe: Halogenderivate der acyclischen Kohlenwasserstoffe mit zwei oder mehr verschiedenen Halogenen: Bromchlordifluormethan, Bromtrifluormethan und Dibromtetrafluorethane: Bromchlordifluormethan</t>
  </si>
  <si>
    <t>Bromtrifluormethan (Halon 1301)</t>
  </si>
  <si>
    <t>Bromtrifluormethan</t>
  </si>
  <si>
    <t>KAPITEL 29 - ORGANISCHE CHEMISCHE ERZEUGNISSE: Halogenderivate der Kohlenwasserstoffe: Halogenderivate der acyclischen Kohlenwasserstoffe mit zwei oder mehr verschiedenen Halogenen: Bromchlordifluormethan (Halon 1211), Bromtrifluormethan (Halon 1301) und Dibromtetrafluorethane (Halon 2402): Bromtrifluormethan (Halon 1301)</t>
  </si>
  <si>
    <t>KAPITEL 29 - ORGANISCHE CHEMISCHE ERZEUGNISSE: Halogenderivate der Kohlenwasserstoffe: Halogenderivate der acyclischen Kohlenwasserstoffe mit zwei oder mehr verschiedenen Halogenen: Bromchlordifluormethan, Bromtrifluormethan und Dibromtetrafluorethane: Bromtrifluormethan</t>
  </si>
  <si>
    <t>Dibromtetrafluorethane (Halon 2402)</t>
  </si>
  <si>
    <t>Dibromtetrafluorethane</t>
  </si>
  <si>
    <t>KAPITEL 29 - ORGANISCHE CHEMISCHE ERZEUGNISSE: Halogenderivate der Kohlenwasserstoffe: Halogenderivate der acyclischen Kohlenwasserstoffe mit zwei oder mehr verschiedenen Halogenen: Bromchlordifluormethan (Halon 1211), Bromtrifluormethan (Halon 1301) und Dibromtetrafluorethane (Halon 2402): Dibromtetrafluorethane (Halon 2402)</t>
  </si>
  <si>
    <t>KAPITEL 29 - ORGANISCHE CHEMISCHE ERZEUGNISSE: Halogenderivate der Kohlenwasserstoffe: Halogenderivate der acyclischen Kohlenwasserstoffe mit zwei oder mehr verschiedenen Halogenen: Bromchlordifluormethan, Bromtrifluormethan und Dibromtetrafluorethane: Dibromtetrafluorethane</t>
  </si>
  <si>
    <t>Diethylether</t>
  </si>
  <si>
    <t>KAPITEL 29 - ORGANISCHE CHEMISCHE ERZEUGNISSE: Ether, Etheralkohole, Etherphenole, Etheralkoholphenole, Alkoholperoxide, Etherperoxide, Acetal- und Halbacetalperoxide, Ketonperoxide (auch chemisch nicht einheitlich); ihre Halogen-, Sulfo-, Nitro- oder Nitrosoderivate: acyclische Ether und ihre Halogen-, Sulfo-, Nitro- oder Nitrosoderivate: Diethylether</t>
  </si>
  <si>
    <t>KAPITEL 29 - ORGANISCHE CHEMISCHE ERZEUGNISSE: Ether, Etheralkohole, Etherphenole, Etheralkoholphenole, Alkoholperoxide, Etherperoxide, Ketonperoxide (auch chemisch nicht einheitlich); ihre Halogen-, Sulfo-, Nitro- oder Nitrosoderivate: acyclische Ether und ihre Halogen-, Sulfo-, Nitro- oder Nitrosoderivate: Diethylether</t>
  </si>
  <si>
    <t>tert-Butyl-ethylether (Ethyl-tert-butylether, ETBE)</t>
  </si>
  <si>
    <t>KAPITEL 29 - ORGANISCHE CHEMISCHE ERZEUGNISSE: Ether, Etheralkohole, Etherphenole, Etheralkoholphenole, Alkoholperoxide, Etherperoxide, Acetal- und Halbacetalperoxide, Ketonperoxide (auch chemisch nicht einheitlich); ihre Halogen-, Sulfo-, Nitro- oder Nitrosoderivate: acyclische Ether und ihre Halogen-, Sulfo-, Nitro- oder Nitrosoderivate: andere: tert-Butyl-ethylether (Ethyl-tert-butylether, ETBE)</t>
  </si>
  <si>
    <t>KAPITEL 29 - ORGANISCHE CHEMISCHE ERZEUGNISSE: Ether, Etheralkohole, Etherphenole, Etheralkoholphenole, Alkoholperoxide, Etherperoxide, Ketonperoxide (auch chemisch nicht einheitlich); ihre Halogen-, Sulfo-, Nitro- oder Nitrosoderivate: acyclische Ether und ihre Halogen-, Sulfo-, Nitro- oder Nitrosoderivate: andere: tert-Butyl-ethylether (Ethyl-tert-butylether, ETBE)</t>
  </si>
  <si>
    <t>KAPITEL 29 - ORGANISCHE CHEMISCHE ERZEUGNISSE: Ether, Etheralkohole, Etherphenole, Etheralkoholphenole, Alkoholperoxide, Etherperoxide, Acetal- und Halbacetalperoxide, Ketonperoxide (auch chemisch nicht einheitlich); ihre Halogen-, Sulfo-, Nitro- oder Nitrosoderivate: acyclische Ether und ihre Halogen-, Sulfo-, Nitro- oder Nitrosoderivate: andere: andere</t>
  </si>
  <si>
    <t>KAPITEL 29 - ORGANISCHE CHEMISCHE ERZEUGNISSE: Ether, Etheralkohole, Etherphenole, Etheralkoholphenole, Alkoholperoxide, Etherperoxide, Ketonperoxide (auch chemisch nicht einheitlich); ihre Halogen-, Sulfo-, Nitro- oder Nitrosoderivate: acyclische Ether und ihre Halogen-, Sulfo-, Nitro- oder Nitrosoderivate: andere: andere</t>
  </si>
  <si>
    <t>alicyclische Ether und ihre Halogen-, Sulfo-, Nitro- oder Nitrosoderivate</t>
  </si>
  <si>
    <t>KAPITEL 29 - ORGANISCHE CHEMISCHE ERZEUGNISSE: Ether, Etheralkohole, Etherphenole, Etheralkoholphenole, Alkoholperoxide, Etherperoxide, Acetal- und Halbacetalperoxide, Ketonperoxide (auch chemisch nicht einheitlich); ihre Halogen-, Sulfo-, Nitro- oder Nitrosoderivate: alicyclische Ether und ihre Halogen-, Sulfo-, Nitro- oder Nitrosoderivate</t>
  </si>
  <si>
    <t>KAPITEL 29 - ORGANISCHE CHEMISCHE ERZEUGNISSE: Ether, Etheralkohole, Etherphenole, Etheralkoholphenole, Alkoholperoxide, Etherperoxide, Ketonperoxide (auch chemisch nicht einheitlich); ihre Halogen-, Sulfo-, Nitro- oder Nitrosoderivate: alicyclische Ether und ihre Halogen-, Sulfo-, Nitro- oder Nitrosoderivate</t>
  </si>
  <si>
    <t>Diphenylether</t>
  </si>
  <si>
    <t>KAPITEL 29 - ORGANISCHE CHEMISCHE ERZEUGNISSE: Ether, Etheralkohole, Etherphenole, Etheralkoholphenole, Alkoholperoxide, Etherperoxide, Acetal- und Halbacetalperoxide, Ketonperoxide (auch chemisch nicht einheitlich); ihre Halogen-, Sulfo-, Nitro- oder Nitrosoderivate: aromatische Ether und ihre Halogen-, Sulfo-, Nitro- oder Nitrosoderivate: Diphenylether</t>
  </si>
  <si>
    <t>KAPITEL 29 - ORGANISCHE CHEMISCHE ERZEUGNISSE: Ether, Etheralkohole, Etherphenole, Etheralkoholphenole, Alkoholperoxide, Etherperoxide, Ketonperoxide (auch chemisch nicht einheitlich); ihre Halogen-, Sulfo-, Nitro- oder Nitrosoderivate: aromatische Ether und ihre Halogen-, Sulfo-, Nitro- oder Nitrosoderivate: Diphenylether</t>
  </si>
  <si>
    <t>Pentabromdiphenylether; 1,2,4,5-Tetrabrom-3,6-bis(pentabromphenoxy)benzol</t>
  </si>
  <si>
    <t>KAPITEL 29 - ORGANISCHE CHEMISCHE ERZEUGNISSE: Ether, Etheralkohole, Etherphenole, Etheralkoholphenole, Alkoholperoxide, Etherperoxide, Acetal- und Halbacetalperoxide, Ketonperoxide (auch chemisch nicht einheitlich); ihre Halogen-, Sulfo-, Nitro- oder Nitrosoderivate: aromatische Ether und ihre Halogen-, Sulfo-, Nitro- oder Nitrosoderivate: nur mit Brom halogenierte Derivate: Pentabromdiphenylether; 1,2,4,5-Tetrabrom-3,6-bis(pentabromphenoxy)benzol</t>
  </si>
  <si>
    <t>KAPITEL 29 - ORGANISCHE CHEMISCHE ERZEUGNISSE: Ether, Etheralkohole, Etherphenole, Etheralkoholphenole, Alkoholperoxide, Etherperoxide, Ketonperoxide (auch chemisch nicht einheitlich); ihre Halogen-, Sulfo-, Nitro- oder Nitrosoderivate: aromatische Ether und ihre Halogen-, Sulfo-, Nitro- oder Nitrosoderivate: nur mit Brom halogenierte Derivate: Pentabromdiphenylether; 1,2,4,5-Tetrabrom-3,6-bis(pentabromphenoxy)benzol</t>
  </si>
  <si>
    <t>1,2-Bis(2,4,6-tribromphenoxy)ethan, zum Herstellen von Acrylnitril-Butadien-Styrol (ABS)</t>
  </si>
  <si>
    <t>KAPITEL 29 - ORGANISCHE CHEMISCHE ERZEUGNISSE: Ether, Etheralkohole, Etherphenole, Etheralkoholphenole, Alkoholperoxide, Etherperoxide, Acetal- und Halbacetalperoxide, Ketonperoxide (auch chemisch nicht einheitlich); ihre Halogen-, Sulfo-, Nitro- oder Nitrosoderivate: aromatische Ether und ihre Halogen-, Sulfo-, Nitro- oder Nitrosoderivate: nur mit Brom halogenierte Derivate: 1,2-Bis(2,4,6-tribromphenoxy)ethan, zum Herstellen von Acrylnitril-Butadien-Styrol (ABS)</t>
  </si>
  <si>
    <t>KAPITEL 29 - ORGANISCHE CHEMISCHE ERZEUGNISSE: Ether, Etheralkohole, Etherphenole, Etheralkoholphenole, Alkoholperoxide, Etherperoxide, Ketonperoxide (auch chemisch nicht einheitlich); ihre Halogen-, Sulfo-, Nitro- oder Nitrosoderivate: aromatische Ether und ihre Halogen-, Sulfo-, Nitro- oder Nitrosoderivate: nur mit Brom halogenierte Derivate: 1,2-Bis(2,4,6-tribromphenoxy)ethan, zum Herstellen von Acrylnitril-Butadien-Styrol (ABS)</t>
  </si>
  <si>
    <t>KAPITEL 29 - ORGANISCHE CHEMISCHE ERZEUGNISSE: Ether, Etheralkohole, Etherphenole, Etheralkoholphenole, Alkoholperoxide, Etherperoxide, Acetal- und Halbacetalperoxide, Ketonperoxide (auch chemisch nicht einheitlich); ihre Halogen-, Sulfo-, Nitro- oder Nitrosoderivate: aromatische Ether und ihre Halogen-, Sulfo-, Nitro- oder Nitrosoderivate: nur mit Brom halogenierte Derivate: andere</t>
  </si>
  <si>
    <t>KAPITEL 29 - ORGANISCHE CHEMISCHE ERZEUGNISSE: Ether, Etheralkohole, Etherphenole, Etheralkoholphenole, Alkoholperoxide, Etherperoxide, Ketonperoxide (auch chemisch nicht einheitlich); ihre Halogen-, Sulfo-, Nitro- oder Nitrosoderivate: aromatische Ether und ihre Halogen-, Sulfo-, Nitro- oder Nitrosoderivate: nur mit Brom halogenierte Derivate: andere</t>
  </si>
  <si>
    <t>KAPITEL 29 - ORGANISCHE CHEMISCHE ERZEUGNISSE: Ether, Etheralkohole, Etherphenole, Etheralkoholphenole, Alkoholperoxide, Etherperoxide, Acetal- und Halbacetalperoxide, Ketonperoxide (auch chemisch nicht einheitlich); ihre Halogen-, Sulfo-, Nitro- oder Nitrosoderivate: aromatische Ether und ihre Halogen-, Sulfo-, Nitro- oder Nitrosoderivate: andere</t>
  </si>
  <si>
    <t>KAPITEL 29 - ORGANISCHE CHEMISCHE ERZEUGNISSE: Ether, Etheralkohole, Etherphenole, Etheralkoholphenole, Alkoholperoxide, Etherperoxide, Ketonperoxide (auch chemisch nicht einheitlich); ihre Halogen-, Sulfo-, Nitro- oder Nitrosoderivate: aromatische Ether und ihre Halogen-, Sulfo-, Nitro- oder Nitrosoderivate: andere</t>
  </si>
  <si>
    <t>2,2′-Oxydiethanol (Diethylenglykol, Digol)</t>
  </si>
  <si>
    <t>KAPITEL 29 - ORGANISCHE CHEMISCHE ERZEUGNISSE: Ether, Etheralkohole, Etherphenole, Etheralkoholphenole, Alkoholperoxide, Etherperoxide, Acetal- und Halbacetalperoxide, Ketonperoxide (auch chemisch nicht einheitlich); ihre Halogen-, Sulfo-, Nitro- oder Nitrosoderivate: Etheralkohole und ihre Halogen-, Sulfo-, Nitro- oder Nitrosoderivate: 2,2′-Oxydiethanol (Diethylenglykol, Digol)</t>
  </si>
  <si>
    <t>KAPITEL 29 - ORGANISCHE CHEMISCHE ERZEUGNISSE: Ether, Etheralkohole, Etherphenole, Etheralkoholphenole, Alkoholperoxide, Etherperoxide, Ketonperoxide (auch chemisch nicht einheitlich); ihre Halogen-, Sulfo-, Nitro- oder Nitrosoderivate: Etheralkohole und ihre Halogen-, Sulfo-, Nitro- oder Nitrosoderivate: 2,2′-Oxydiethanol (Diethylenglykol, Digol)</t>
  </si>
  <si>
    <t>Monobutylether des Ethylenglykols oder des Diethylenglykols</t>
  </si>
  <si>
    <t>KAPITEL 29 - ORGANISCHE CHEMISCHE ERZEUGNISSE: Ether, Etheralkohole, Etherphenole, Etheralkoholphenole, Alkoholperoxide, Etherperoxide, Acetal- und Halbacetalperoxide, Ketonperoxide (auch chemisch nicht einheitlich); ihre Halogen-, Sulfo-, Nitro- oder Nitrosoderivate: Etheralkohole und ihre Halogen-, Sulfo-, Nitro- oder Nitrosoderivate: Monobutylether des Ethylenglykols oder des Diethylenglykols</t>
  </si>
  <si>
    <t>KAPITEL 29 - ORGANISCHE CHEMISCHE ERZEUGNISSE: Ether, Etheralkohole, Etherphenole, Etheralkoholphenole, Alkoholperoxide, Etherperoxide, Ketonperoxide (auch chemisch nicht einheitlich); ihre Halogen-, Sulfo-, Nitro- oder Nitrosoderivate: Etheralkohole und ihre Halogen-, Sulfo-, Nitro- oder Nitrosoderivate: Monobutylether des Ethylenglykols oder des Diethylenglykols</t>
  </si>
  <si>
    <t>andere Monoalkylether des Ethylenglykols oder des Diethylenglykols</t>
  </si>
  <si>
    <t>KAPITEL 29 - ORGANISCHE CHEMISCHE ERZEUGNISSE: Ether, Etheralkohole, Etherphenole, Etheralkoholphenole, Alkoholperoxide, Etherperoxide, Acetal- und Halbacetalperoxide, Ketonperoxide (auch chemisch nicht einheitlich); ihre Halogen-, Sulfo-, Nitro- oder Nitrosoderivate: Etheralkohole und ihre Halogen-, Sulfo-, Nitro- oder Nitrosoderivate: andere Monoalkylether des Ethylenglykols oder des Diethylenglykols</t>
  </si>
  <si>
    <t>KAPITEL 29 - ORGANISCHE CHEMISCHE ERZEUGNISSE: Ether, Etheralkohole, Etherphenole, Etheralkoholphenole, Alkoholperoxide, Etherperoxide, Ketonperoxide (auch chemisch nicht einheitlich); ihre Halogen-, Sulfo-, Nitro- oder Nitrosoderivate: Etheralkohole und ihre Halogen-, Sulfo-, Nitro- oder Nitrosoderivate: andere Monoalkylether des Ethylenglykols oder des Diethylenglykols</t>
  </si>
  <si>
    <t>2-(2-Chlorethoxy)ethanol</t>
  </si>
  <si>
    <t>KAPITEL 29 - ORGANISCHE CHEMISCHE ERZEUGNISSE: Ether, Etheralkohole, Etherphenole, Etheralkoholphenole, Alkoholperoxide, Etherperoxide, Acetal- und Halbacetalperoxide, Ketonperoxide (auch chemisch nicht einheitlich); ihre Halogen-, Sulfo-, Nitro- oder Nitrosoderivate: Etheralkohole und ihre Halogen-, Sulfo-, Nitro- oder Nitrosoderivate: andere: 2-(2-Chlorethoxy)ethanol</t>
  </si>
  <si>
    <t>KAPITEL 29 - ORGANISCHE CHEMISCHE ERZEUGNISSE: Ether, Etheralkohole, Etherphenole, Etheralkoholphenole, Alkoholperoxide, Etherperoxide, Ketonperoxide (auch chemisch nicht einheitlich); ihre Halogen-, Sulfo-, Nitro- oder Nitrosoderivate: Etheralkohole und ihre Halogen-, Sulfo-, Nitro- oder Nitrosoderivate: andere: 2-(2-Chlorethoxy)ethanol</t>
  </si>
  <si>
    <t>KAPITEL 29 - ORGANISCHE CHEMISCHE ERZEUGNISSE: Ether, Etheralkohole, Etherphenole, Etheralkoholphenole, Alkoholperoxide, Etherperoxide, Acetal- und Halbacetalperoxide, Ketonperoxide (auch chemisch nicht einheitlich); ihre Halogen-, Sulfo-, Nitro- oder Nitrosoderivate: Etheralkohole und ihre Halogen-, Sulfo-, Nitro- oder Nitrosoderivate: andere: andere</t>
  </si>
  <si>
    <t>KAPITEL 29 - ORGANISCHE CHEMISCHE ERZEUGNISSE: Ether, Etheralkohole, Etherphenole, Etheralkoholphenole, Alkoholperoxide, Etherperoxide, Ketonperoxide (auch chemisch nicht einheitlich); ihre Halogen-, Sulfo-, Nitro- oder Nitrosoderivate: Etheralkohole und ihre Halogen-, Sulfo-, Nitro- oder Nitrosoderivate: andere: andere</t>
  </si>
  <si>
    <t>Etherphenole, Etheralkoholphenole und ihre Halogen-, Sulfo-, Nitro- oder Nitrosoderivate</t>
  </si>
  <si>
    <t>KAPITEL 29 - ORGANISCHE CHEMISCHE ERZEUGNISSE: Ether, Etheralkohole, Etherphenole, Etheralkoholphenole, Alkoholperoxide, Etherperoxide, Acetal- und Halbacetalperoxide, Ketonperoxide (auch chemisch nicht einheitlich); ihre Halogen-, Sulfo-, Nitro- oder Nitrosoderivate: Etherphenole, Etheralkoholphenole und ihre Halogen-, Sulfo-, Nitro- oder Nitrosoderivate</t>
  </si>
  <si>
    <t>KAPITEL 29 - ORGANISCHE CHEMISCHE ERZEUGNISSE: Ether, Etheralkohole, Etherphenole, Etheralkoholphenole, Alkoholperoxide, Etherperoxide, Ketonperoxide (auch chemisch nicht einheitlich); ihre Halogen-, Sulfo-, Nitro- oder Nitrosoderivate: Etherphenole, Etheralkoholphenole und ihre Halogen-, Sulfo-, Nitro- oder Nitrosoderivate</t>
  </si>
  <si>
    <t>Alfentanil (INN), Anileridin (INN), Bezitramid (INN), Bromazepam (INN), Carfentanil (INN), Difenoxin (INN), Diphenoxylat (INN), Dipipanon (INN), Fentanyl (INN), Ketobemidon (INN), Methylphenidat (INN), Pentazocin (INN), Pethidin (INN), Pethidin (INN)-Zwischenerzeugnis A, Phencyclidin (INN) (PCP), Phenoperidin (INN), Pipradrol (INN), Piritramid (INN), Propiram (INN), Remifentanil (INN) und Trimeperidin (INN); Salze dieser Erzeugnisse</t>
  </si>
  <si>
    <t>Alfentanil (INN), Anileridin (INN), Bezitramid (INN), Bromazepam (INN), Difenoxin (INN), Diphenoxylat (INN), Dipipanon (INN), Fentanyl (INN), Ketobemidon (INN), Methylphenidat (INN), Pentazocin (INN), Pethidin (INN), Pethidin (INN)-Zwischenerzeugnis A, Phencyclidin (INN) (PCP), Phenoperidin (INN), Pipradrol (INN), Piritramid (INN), Propiram (INN) und Trimeperidin (INN); Salze dieser Erzeugnisse</t>
  </si>
  <si>
    <t>KAPITEL 29 - ORGANISCHE CHEMISCHE ERZEUGNISSE: Heterocyclische Verbindungen, nur mit Stickstoff als Heteroatom(e): Verbindungen, die einen nicht kondensierten Pyridinring (auch hydriert) in der Struktur enthalten: Alfentanil (INN), Anileridin (INN), Bezitramid (INN), Bromazepam (INN), Carfentanil (INN), Difenoxin (INN), Diphenoxylat (INN), Dipipanon (INN), Fentanyl (INN), Ketobemidon (INN), Methylphenidat (INN), Pentazocin (INN), Pethidin (INN), Pethidin (INN)-Zwischenerzeugnis A, Phencyclidin (INN) (PCP), Phenoperidin (INN), Pipradrol (INN), Piritramid (INN), Propiram (INN), Remifentanil (INN) und Trimeperidin (INN); Salze dieser Erzeugnisse</t>
  </si>
  <si>
    <t>KAPITEL 29 - ORGANISCHE CHEMISCHE ERZEUGNISSE: Heterocyclische Verbindungen, nur mit Stickstoff als Heteroatom(e): Verbindungen, die einen nicht kondensierten Pyridinring (auch hydriert) in der Struktur enthalten: Alfentanil (INN), Anileridin (INN), Bezitramid (INN), Bromazepam (INN), Difenoxin (INN), Diphenoxylat (INN), Dipipanon (INN), Fentanyl (INN), Ketobemidon (INN), Methylphenidat (INN), Pentazocin (INN), Pethidin (INN), Pethidin (INN)-Zwischenerzeugnis A, Phencyclidin (INN) (PCP), Phenoperidin (INN), Pipradrol (INN), Piritramid (INN), Propiram (INN) und Trimeperidin (INN); Salze dieser Erzeugnisse</t>
  </si>
  <si>
    <t>D- oder DL-Pantothensäure (Vitamin B5) und ihre Derivate</t>
  </si>
  <si>
    <t>D- oder DL-Pantothensäure (Vitamin B3 oder Vitamin B5) und ihre Derivate</t>
  </si>
  <si>
    <t>KAPITEL 29 - ORGANISCHE CHEMISCHE ERZEUGNISSE: Natürliche, auch synthetisch hergestellte Provitamine und Vitamine (einschließlich natürliche Konzentrate) und ihre hauptsächlich als Vitamine gebrauchten Derivate, auch untereinander gemischt, auch in Lösemitteln aller Art: Vitamine und ihre Derivate, ungemischt: D- oder DL-Pantothensäure (Vitamin B5) und ihre Derivate</t>
  </si>
  <si>
    <t>KAPITEL 29 - ORGANISCHE CHEMISCHE ERZEUGNISSE: Natürliche, auch synthetisch hergestellte Provitamine und Vitamine (einschließlich natürliche Konzentrate) und ihre hauptsächlich als Vitamine gebrauchten Derivate, auch untereinander gemischt, auch in Lösemitteln aller Art: Vitamine und ihre Derivate, ungemischt: D- oder DL-Pantothensäure (Vitamin B3 oder Vitamin B5) und ihre Derivate</t>
  </si>
  <si>
    <t>Ephedrin und seine Salze</t>
  </si>
  <si>
    <t>KAPITEL 29 - ORGANISCHE CHEMISCHE ERZEUGNISSE: Natürliche, auch synthetisch hergestellte Alkaloide, ihre Salze, Ether, Ester und anderen Derivate: Ephedra-Alkaloide und ihre Derivate; Salze dieser Erzeugnisse: Ephedrin und seine Salze</t>
  </si>
  <si>
    <t>KAPITEL 29 - ORGANISCHE CHEMISCHE ERZEUGNISSE: Natürliche, auch synthetisch hergestellte Alkaloide, ihre Salze, Ether, Ester und anderen Derivate: Ephedrine und ihre Salze: Ephedrin und seine Salze</t>
  </si>
  <si>
    <t>Pseudoephedrin (INN) und seine Salze</t>
  </si>
  <si>
    <t>KAPITEL 29 - ORGANISCHE CHEMISCHE ERZEUGNISSE: Natürliche, auch synthetisch hergestellte Alkaloide, ihre Salze, Ether, Ester und anderen Derivate: Ephedra-Alkaloide und ihre Derivate; Salze dieser Erzeugnisse: Pseudoephedrin (INN) und seine Salze</t>
  </si>
  <si>
    <t>KAPITEL 29 - ORGANISCHE CHEMISCHE ERZEUGNISSE: Natürliche, auch synthetisch hergestellte Alkaloide, ihre Salze, Ether, Ester und anderen Derivate: Ephedrine und ihre Salze: Pseudoephedrin (INN) und seine Salze</t>
  </si>
  <si>
    <t>Cathin (INN) und seine Salze</t>
  </si>
  <si>
    <t>KAPITEL 29 - ORGANISCHE CHEMISCHE ERZEUGNISSE: Natürliche, auch synthetisch hergestellte Alkaloide, ihre Salze, Ether, Ester und anderen Derivate: Ephedra-Alkaloide und ihre Derivate; Salze dieser Erzeugnisse: Cathin (INN) und seine Salze</t>
  </si>
  <si>
    <t>KAPITEL 29 - ORGANISCHE CHEMISCHE ERZEUGNISSE: Natürliche, auch synthetisch hergestellte Alkaloide, ihre Salze, Ether, Ester und anderen Derivate: Ephedrine und ihre Salze: Cathin (INN) und seine Salze</t>
  </si>
  <si>
    <t>Norephedrin und seine Salze</t>
  </si>
  <si>
    <t>KAPITEL 29 - ORGANISCHE CHEMISCHE ERZEUGNISSE: Natürliche, auch synthetisch hergestellte Alkaloide, ihre Salze, Ether, Ester und anderen Derivate: Ephedra-Alkaloide und ihre Derivate; Salze dieser Erzeugnisse: Norephedrin und seine Salze</t>
  </si>
  <si>
    <t>KAPITEL 29 - ORGANISCHE CHEMISCHE ERZEUGNISSE: Natürliche, auch synthetisch hergestellte Alkaloide, ihre Salze, Ether, Ester und anderen Derivate: Ephedrine und ihre Salze: Norephedrin und seine Salze</t>
  </si>
  <si>
    <t>KAPITEL 29 - ORGANISCHE CHEMISCHE ERZEUGNISSE: Natürliche, auch synthetisch hergestellte Alkaloide, ihre Salze, Ether, Ester und anderen Derivate: Ephedra-Alkaloide und ihre Derivate; Salze dieser Erzeugnisse: andere</t>
  </si>
  <si>
    <t>KAPITEL 29 - ORGANISCHE CHEMISCHE ERZEUGNISSE: Natürliche, auch synthetisch hergestellte Alkaloide, ihre Salze, Ether, Ester und anderen Derivate: Ephedrine und ihre Salze: andere</t>
  </si>
  <si>
    <t>Antisera und andere Blutfraktionen</t>
  </si>
  <si>
    <t>KAPITEL 30 - PHARMAZEUTISCHE ERZEUGNISSE: Menschliches Blut; tierisches Blut, zu therapeutischen, prophylaktischen oder diagnostischen Zwecken zubereitet; Antisera, andere Blutfraktionen und immunologische Erzeugnisse, auch modifiziert oder in einem biotechnologischen Verfahren hergestellt; Vaccine, Toxine, Kulturen von Mikroorganismen (ausgenommen Hefen) und ähnliche Erzeugnisse; Zellkulturen, auch verändert: Antisera, andere Blutfraktionen und immunologische Erzeugnisse, auch modifiziert oder in einem biotechnologischen Verfahren hergestellt: Antisera und andere Blutfraktionen</t>
  </si>
  <si>
    <t>KAPITEL 30 - PHARMAZEUTISCHE ERZEUGNISSE: Menschliches Blut; tierisches Blut, zu therapeutischen, prophylaktischen oder diagnostischen Zwecken zubereitet; Antisera, andere Blutfraktionen und immunologische Erzeugnisse, auch modifiziert oder in einem biotechnologischen Verfahren hergestellt; Vaccine, Toxine, Kulturen von Mikroorganismen (ausgenommen Hefen) und ähnliche Erzeugnisse: Antisera, andere Blutfraktionen und immunologische Erzeugnisse, auch modifiziert oder in einem biotechnologischen Verfahren hergestellt: Antisera und andere Blutfraktionen</t>
  </si>
  <si>
    <t>immunologische Erzeugnisse, ungemischt, weder dosiert noch in Aufmachung für den Einzelverkauf</t>
  </si>
  <si>
    <t>KAPITEL 30 - PHARMAZEUTISCHE ERZEUGNISSE: Menschliches Blut; tierisches Blut, zu therapeutischen, prophylaktischen oder diagnostischen Zwecken zubereitet; Antisera, andere Blutfraktionen und immunologische Erzeugnisse, auch modifiziert oder in einem biotechnologischen Verfahren hergestellt; Vaccine, Toxine, Kulturen von Mikroorganismen (ausgenommen Hefen) und ähnliche Erzeugnisse; Zellkulturen, auch verändert: Antisera, andere Blutfraktionen und immunologische Erzeugnisse, auch modifiziert oder in einem biotechnologischen Verfahren hergestellt: immunologische Erzeugnisse, ungemischt, weder dosiert noch in Aufmachung für den Einzelverkauf</t>
  </si>
  <si>
    <t>KAPITEL 30 - PHARMAZEUTISCHE ERZEUGNISSE: Menschliches Blut; tierisches Blut, zu therapeutischen, prophylaktischen oder diagnostischen Zwecken zubereitet; Antisera, andere Blutfraktionen und immunologische Erzeugnisse, auch modifiziert oder in einem biotechnologischen Verfahren hergestellt; Vaccine, Toxine, Kulturen von Mikroorganismen (ausgenommen Hefen) und ähnliche Erzeugnisse: Antisera, andere Blutfraktionen und immunologische Erzeugnisse, auch modifiziert oder in einem biotechnologischen Verfahren hergestellt: immunologische Erzeugnisse, ungemischt, weder dosiert noch in Aufmachung für den Einzelverkauf</t>
  </si>
  <si>
    <t>immunologische Erzeugnisse, gemischt, weder dosiert noch in Aufmachung für den Einzelverkauf</t>
  </si>
  <si>
    <t>KAPITEL 30 - PHARMAZEUTISCHE ERZEUGNISSE: Menschliches Blut; tierisches Blut, zu therapeutischen, prophylaktischen oder diagnostischen Zwecken zubereitet; Antisera, andere Blutfraktionen und immunologische Erzeugnisse, auch modifiziert oder in einem biotechnologischen Verfahren hergestellt; Vaccine, Toxine, Kulturen von Mikroorganismen (ausgenommen Hefen) und ähnliche Erzeugnisse; Zellkulturen, auch verändert: Antisera, andere Blutfraktionen und immunologische Erzeugnisse, auch modifiziert oder in einem biotechnologischen Verfahren hergestellt: immunologische Erzeugnisse, gemischt, weder dosiert noch in Aufmachung für den Einzelverkauf</t>
  </si>
  <si>
    <t>KAPITEL 30 - PHARMAZEUTISCHE ERZEUGNISSE: Menschliches Blut; tierisches Blut, zu therapeutischen, prophylaktischen oder diagnostischen Zwecken zubereitet; Antisera, andere Blutfraktionen und immunologische Erzeugnisse, auch modifiziert oder in einem biotechnologischen Verfahren hergestellt; Vaccine, Toxine, Kulturen von Mikroorganismen (ausgenommen Hefen) und ähnliche Erzeugnisse: Antisera, andere Blutfraktionen und immunologische Erzeugnisse, auch modifiziert oder in einem biotechnologischen Verfahren hergestellt: immunologische Erzeugnisse, gemischt, weder dosiert noch in Aufmachung für den Einzelverkauf</t>
  </si>
  <si>
    <t>immunologische Erzeugnisse, dosiert oder in Aufmachung für den Einzelverkauf</t>
  </si>
  <si>
    <t>KAPITEL 30 - PHARMAZEUTISCHE ERZEUGNISSE: Menschliches Blut; tierisches Blut, zu therapeutischen, prophylaktischen oder diagnostischen Zwecken zubereitet; Antisera, andere Blutfraktionen und immunologische Erzeugnisse, auch modifiziert oder in einem biotechnologischen Verfahren hergestellt; Vaccine, Toxine, Kulturen von Mikroorganismen (ausgenommen Hefen) und ähnliche Erzeugnisse; Zellkulturen, auch verändert: Antisera, andere Blutfraktionen und immunologische Erzeugnisse, auch modifiziert oder in einem biotechnologischen Verfahren hergestellt: immunologische Erzeugnisse, dosiert oder in Aufmachung für den Einzelverkauf</t>
  </si>
  <si>
    <t>KAPITEL 30 - PHARMAZEUTISCHE ERZEUGNISSE: Menschliches Blut; tierisches Blut, zu therapeutischen, prophylaktischen oder diagnostischen Zwecken zubereitet; Antisera, andere Blutfraktionen und immunologische Erzeugnisse, auch modifiziert oder in einem biotechnologischen Verfahren hergestellt; Vaccine, Toxine, Kulturen von Mikroorganismen (ausgenommen Hefen) und ähnliche Erzeugnisse: Antisera, andere Blutfraktionen und immunologische Erzeugnisse, auch modifiziert oder in einem biotechnologischen Verfahren hergestellt: immunologische Erzeugnisse, dosiert oder in Aufmachung für den Einzelverkauf</t>
  </si>
  <si>
    <t>menschliches Blut</t>
  </si>
  <si>
    <t>KAPITEL 30 - PHARMAZEUTISCHE ERZEUGNISSE: Menschliches Blut; tierisches Blut, zu therapeutischen, prophylaktischen oder diagnostischen Zwecken zubereitet; Antisera, andere Blutfraktionen und immunologische Erzeugnisse, auch modifiziert oder in einem biotechnologischen Verfahren hergestellt; Vaccine, Toxine, Kulturen von Mikroorganismen (ausgenommen Hefen) und ähnliche Erzeugnisse; Zellkulturen, auch verändert: andere: menschliches Blut</t>
  </si>
  <si>
    <t>KAPITEL 30 - PHARMAZEUTISCHE ERZEUGNISSE: Menschliches Blut; tierisches Blut, zu therapeutischen, prophylaktischen oder diagnostischen Zwecken zubereitet; Antisera, andere Blutfraktionen und immunologische Erzeugnisse, auch modifiziert oder in einem biotechnologischen Verfahren hergestellt; Vaccine, Toxine, Kulturen von Mikroorganismen (ausgenommen Hefen) und ähnliche Erzeugnisse: andere: menschliches Blut</t>
  </si>
  <si>
    <t>tierisches Blut, zu therapeutischen, prophylaktischen oder diagnostischen Zwecken zubereitet</t>
  </si>
  <si>
    <t>KAPITEL 30 - PHARMAZEUTISCHE ERZEUGNISSE: Menschliches Blut; tierisches Blut, zu therapeutischen, prophylaktischen oder diagnostischen Zwecken zubereitet; Antisera, andere Blutfraktionen und immunologische Erzeugnisse, auch modifiziert oder in einem biotechnologischen Verfahren hergestellt; Vaccine, Toxine, Kulturen von Mikroorganismen (ausgenommen Hefen) und ähnliche Erzeugnisse; Zellkulturen, auch verändert: andere: tierisches Blut, zu therapeutischen, prophylaktischen oder diagnostischen Zwecken zubereitet</t>
  </si>
  <si>
    <t>KAPITEL 30 - PHARMAZEUTISCHE ERZEUGNISSE: Menschliches Blut; tierisches Blut, zu therapeutischen, prophylaktischen oder diagnostischen Zwecken zubereitet; Antisera, andere Blutfraktionen und immunologische Erzeugnisse, auch modifiziert oder in einem biotechnologischen Verfahren hergestellt; Vaccine, Toxine, Kulturen von Mikroorganismen (ausgenommen Hefen) und ähnliche Erzeugnisse: andere: tierisches Blut, zu therapeutischen, prophylaktischen oder diagnostischen Zwecken zubereitet</t>
  </si>
  <si>
    <t>KAPITEL 30 - PHARMAZEUTISCHE ERZEUGNISSE: Menschliches Blut; tierisches Blut, zu therapeutischen, prophylaktischen oder diagnostischen Zwecken zubereitet; Antisera, andere Blutfraktionen und immunologische Erzeugnisse, auch modifiziert oder in einem biotechnologischen Verfahren hergestellt; Vaccine, Toxine, Kulturen von Mikroorganismen (ausgenommen Hefen) und ähnliche Erzeugnisse; Zellkulturen, auch verändert: andere: andere</t>
  </si>
  <si>
    <t>KAPITEL 30 - PHARMAZEUTISCHE ERZEUGNISSE: Menschliches Blut; tierisches Blut, zu therapeutischen, prophylaktischen oder diagnostischen Zwecken zubereitet; Antisera, andere Blutfraktionen und immunologische Erzeugnisse, auch modifiziert oder in einem biotechnologischen Verfahren hergestellt; Vaccine, Toxine, Kulturen von Mikroorganismen (ausgenommen Hefen) und ähnliche Erzeugnisse: andere: andere</t>
  </si>
  <si>
    <t>Sägerundholz</t>
  </si>
  <si>
    <t>KAPITEL 44 - HOLZ UND HOLZWAREN; HOLZKOHLE: Rohholz, auch entrindet, vom Splint befreit oder zwei- oder vierseitig grob zugerichtet: anderes, von Nadelholz: Kiefernholz der Art „Pinus spp.“, dessen kleinster Durchmesser 15 cm oder mehr beträgt: Sägerundholz</t>
  </si>
  <si>
    <t>KAPITEL 44 - HOLZ UND HOLZWAREN; HOLZKOHLE: Rohholz, auch entrindet, vom Splint befreit oder zwei- oder vierseitig grob zugerichtet: anderes, von Nadelholz: Kiefernholz der Art „Pinus spp.“ mit einem Durchmesser von 15 cm oder mehr: Sägerundholz</t>
  </si>
  <si>
    <t>KAPITEL 44 - HOLZ UND HOLZWAREN; HOLZKOHLE: Rohholz, auch entrindet, vom Splint befreit oder zwei- oder vierseitig grob zugerichtet: anderes, von Nadelholz: Kiefernholz der Art „Pinus spp.“, dessen kleinster Durchmesser 15 cm oder mehr beträgt: anderes</t>
  </si>
  <si>
    <t>KAPITEL 44 - HOLZ UND HOLZWAREN; HOLZKOHLE: Rohholz, auch entrindet, vom Splint befreit oder zwei- oder vierseitig grob zugerichtet: anderes, von Nadelholz: Kiefernholz der Art „Pinus spp.“ mit einem Durchmesser von 15 cm oder mehr: anderes</t>
  </si>
  <si>
    <t>KAPITEL 44 - HOLZ UND HOLZWAREN; HOLZKOHLE: Rohholz, auch entrindet, vom Splint befreit oder zwei- oder vierseitig grob zugerichtet: anderes, von Nadelholz: Tannenholz der Art „Abies spp.“ und Fichtenholz der Art „Picea spp.“, dessen kleinster Durchmesser 15 cm oder mehr beträgt: Sägerundholz</t>
  </si>
  <si>
    <t>KAPITEL 44 - HOLZ UND HOLZWAREN; HOLZKOHLE: Rohholz, auch entrindet, vom Splint befreit oder zwei- oder vierseitig grob zugerichtet: anderes, von Nadelholz: Tannenholz der Art „Abies spp.“ und Fichtenholz der Art „Picea spp.“ mit einem Durchmesser von 15 cm oder mehr: Sägerundholz</t>
  </si>
  <si>
    <t>KAPITEL 44 - HOLZ UND HOLZWAREN; HOLZKOHLE: Rohholz, auch entrindet, vom Splint befreit oder zwei- oder vierseitig grob zugerichtet: anderes, von Nadelholz: Tannenholz der Art „Abies spp.“ und Fichtenholz der Art „Picea spp.“, dessen kleinster Durchmesser 15 cm oder mehr beträgt: anderes</t>
  </si>
  <si>
    <t>KAPITEL 44 - HOLZ UND HOLZWAREN; HOLZKOHLE: Rohholz, auch entrindet, vom Splint befreit oder zwei- oder vierseitig grob zugerichtet: anderes, von Nadelholz: Tannenholz der Art „Abies spp.“ und Fichtenholz der Art „Picea spp.“ mit einem Durchmesser von 15 cm oder mehr: anderes</t>
  </si>
  <si>
    <t>KAPITEL 44 - HOLZ UND HOLZWAREN; HOLZKOHLE: Rohholz, auch entrindet, vom Splint befreit oder zwei- oder vierseitig grob zugerichtet: anderes, von Nadelholz: anderes, dessen kleinster Durchmesser 15 cm oder mehr beträgt: Sägerundholz</t>
  </si>
  <si>
    <t>KAPITEL 44 - HOLZ UND HOLZWAREN; HOLZKOHLE: Rohholz, auch entrindet, vom Splint befreit oder zwei- oder vierseitig grob zugerichtet: anderes, von Nadelholz: anderes, mit einem Durchmesser von 15 cm oder mehr: Sägerundholz</t>
  </si>
  <si>
    <t>KAPITEL 44 - HOLZ UND HOLZWAREN; HOLZKOHLE: Rohholz, auch entrindet, vom Splint befreit oder zwei- oder vierseitig grob zugerichtet: anderes, von Nadelholz: anderes, dessen kleinster Durchmesser 15 cm oder mehr beträgt: anderes</t>
  </si>
  <si>
    <t>KAPITEL 44 - HOLZ UND HOLZWAREN; HOLZKOHLE: Rohholz, auch entrindet, vom Splint befreit oder zwei- oder vierseitig grob zugerichtet: anderes, von Nadelholz: anderes, mit einem Durchmesser von 15 cm oder mehr: anderes</t>
  </si>
  <si>
    <t>Buchenholz der Art „Fagus spp.“, dessen kleinster Durchmesser 15 cm oder mehr beträgt</t>
  </si>
  <si>
    <t>Buchenholz der Art „Fagus spp.“ mit einem Durchmesser von 15 cm oder mehr</t>
  </si>
  <si>
    <t>KAPITEL 44 - HOLZ UND HOLZWAREN; HOLZKOHLE: Rohholz, auch entrindet, vom Splint befreit oder zwei- oder vierseitig grob zugerichtet: anderes: Buchenholz der Art „Fagus spp.“, dessen kleinster Durchmesser 15 cm oder mehr beträgt</t>
  </si>
  <si>
    <t>KAPITEL 44 - HOLZ UND HOLZWAREN; HOLZKOHLE: Rohholz, auch entrindet, vom Splint befreit oder zwei- oder vierseitig grob zugerichtet: anderes: Buchenholz der Art „Fagus spp.“ mit einem Durchmesser von 15 cm oder mehr</t>
  </si>
  <si>
    <t>KAPITEL 44 - HOLZ UND HOLZWAREN; HOLZKOHLE: Rohholz, auch entrindet, vom Splint befreit oder zwei- oder vierseitig grob zugerichtet: anderes: Birkenholz der Art „Betula spp.“, dessen kleinster Durchmesser 15 cm oder mehr beträgt: Sägerundholz</t>
  </si>
  <si>
    <t>KAPITEL 44 - HOLZ UND HOLZWAREN; HOLZKOHLE: Rohholz, auch entrindet, vom Splint befreit oder zwei- oder vierseitig grob zugerichtet: anderes: Birkenholz der Art „Betula spp.“ mit einem Durchmesser von 15 cm oder mehr: Sägerundholz</t>
  </si>
  <si>
    <t>KAPITEL 44 - HOLZ UND HOLZWAREN; HOLZKOHLE: Rohholz, auch entrindet, vom Splint befreit oder zwei- oder vierseitig grob zugerichtet: anderes: Birkenholz der Art „Betula spp.“, dessen kleinster Durchmesser 15 cm oder mehr beträgt: anderes</t>
  </si>
  <si>
    <t>KAPITEL 44 - HOLZ UND HOLZWAREN; HOLZKOHLE: Rohholz, auch entrindet, vom Splint befreit oder zwei- oder vierseitig grob zugerichtet: anderes: Birkenholz der Art „Betula spp.“ mit einem Durchmesser von 15 cm oder mehr: anderes</t>
  </si>
  <si>
    <t>an den Enden verbunden (auch gehobelt oder geschliffen)</t>
  </si>
  <si>
    <t>KAPITEL 44 - HOLZ UND HOLZWAREN; HOLZKOHLE: Holz, in der Längsrichtung gesägt oder gesäumt, gemessert oder geschält, auch gehobelt, geschliffen oder an den Enden verbunden, mit einer Dicke von mehr als 6 mm: tropisches Holz: anderes: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Obéché, Okoumé, Onzabili, Orey, Ovengkol, Ozigo, Padauk, Paldao, Palissandre de Guatemala, Palissandre de Para, Palissandre de Rio, Palissandre de Rose, Pau Amarelo, Pau Marfim, Pulai, Punah, Quaruba, Ramin, Saqui-Saqui, Sepetir, Sipo, Sucupira, Suren, Tauari, Tiama, Tola: an den Enden verbunden (auch gehobelt oder geschliffen)</t>
  </si>
  <si>
    <t>KAPITEL 44 - HOLZ UND HOLZWAREN; HOLZKOHLE: Holz, in der Längsrichtung gesägt oder gesäumt, gemessert oder geschält, auch gehobelt, geschliffen oder an den Enden verbunden, mit einer Dicke von mehr als 6 mm: tropisches Holz: anderes: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Obéché, Okoumé, Onzabili, Orey, Ovengkol, Ozigo, Padauk, Paldao, Palissandre de Guatemala, Palissandre de Para, Palissandre de Rio, Palissandre de Rose, Pau Amarelo, Pau Marfim, Pulai, Punah, Quaruba, Ramin, Saqui-Saqui, Sepetir, Sipo, Sucupira, Suren, Tauari, Teak, Tiama, Tola: an den Enden verbunden (auch gehobelt oder geschliffen)</t>
  </si>
  <si>
    <t>Palissandre de Para, Palissandre de Rio und Palissandre de Rose, gehobelt</t>
  </si>
  <si>
    <t>KAPITEL 44 - HOLZ UND HOLZWAREN; HOLZKOHLE: Holz, in der Längsrichtung gesägt oder gesäumt, gemessert oder geschält, auch gehobelt, geschliffen oder an den Enden verbunden, mit einer Dicke von mehr als 6 mm: tropisches Holz: anderes: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Obéché, Okoumé, Onzabili, Orey, Ovengkol, Ozigo, Padauk, Paldao, Palissandre de Guatemala, Palissandre de Para, Palissandre de Rio, Palissandre de Rose, Pau Amarelo, Pau Marfim, Pulai, Punah, Quaruba, Ramin, Saqui-Saqui, Sepetir, Sipo, Sucupira, Suren, Tauari, Tiama, Tola: anderes: Palissandre de Para, Palissandre de Rio und Palissandre de Rose, gehobelt</t>
  </si>
  <si>
    <t>KAPITEL 44 - HOLZ UND HOLZWAREN; HOLZKOHLE: Holz, in der Längsrichtung gesägt oder gesäumt, gemessert oder geschält, auch gehobelt, geschliffen oder an den Enden verbunden, mit einer Dicke von mehr als 6 mm: tropisches Holz: anderes: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Obéché, Okoumé, Onzabili, Orey, Ovengkol, Ozigo, Padauk, Paldao, Palissandre de Guatemala, Palissandre de Para, Palissandre de Rio, Palissandre de Rose, Pau Amarelo, Pau Marfim, Pulai, Punah, Quaruba, Ramin, Saqui-Saqui, Sepetir, Sipo, Sucupira, Suren, Tauari, Teak, Tiama, Tola: anderes: Palissandre de Para, Palissandre de Rio und Palissandre de Rose, gehobelt</t>
  </si>
  <si>
    <t>gehobelt</t>
  </si>
  <si>
    <t>KAPITEL 44 - HOLZ UND HOLZWAREN; HOLZKOHLE: Holz, in der Längsrichtung gesägt oder gesäumt, gemessert oder geschält, auch gehobelt, geschliffen oder an den Enden verbunden, mit einer Dicke von mehr als 6 mm: tropisches Holz: anderes: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Obéché, Okoumé, Onzabili, Orey, Ovengkol, Ozigo, Padauk, Paldao, Palissandre de Guatemala, Palissandre de Para, Palissandre de Rio, Palissandre de Rose, Pau Amarelo, Pau Marfim, Pulai, Punah, Quaruba, Ramin, Saqui-Saqui, Sepetir, Sipo, Sucupira, Suren, Tauari, Tiama, Tola: anderes: anderes: gehobelt</t>
  </si>
  <si>
    <t>KAPITEL 44 - HOLZ UND HOLZWAREN; HOLZKOHLE: Holz, in der Längsrichtung gesägt oder gesäumt, gemessert oder geschält, auch gehobelt, geschliffen oder an den Enden verbunden, mit einer Dicke von mehr als 6 mm: tropisches Holz: anderes: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Obéché, Okoumé, Onzabili, Orey, Ovengkol, Ozigo, Padauk, Paldao, Palissandre de Guatemala, Palissandre de Para, Palissandre de Rio, Palissandre de Rose, Pau Amarelo, Pau Marfim, Pulai, Punah, Quaruba, Ramin, Saqui-Saqui, Sepetir, Sipo, Sucupira, Suren, Tauari, Teak, Tiama, Tola: anderes: anderes: gehobelt</t>
  </si>
  <si>
    <t>geschliffen</t>
  </si>
  <si>
    <t>KAPITEL 44 - HOLZ UND HOLZWAREN; HOLZKOHLE: Holz, in der Längsrichtung gesägt oder gesäumt, gemessert oder geschält, auch gehobelt, geschliffen oder an den Enden verbunden, mit einer Dicke von mehr als 6 mm: tropisches Holz: anderes: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Obéché, Okoumé, Onzabili, Orey, Ovengkol, Ozigo, Padauk, Paldao, Palissandre de Guatemala, Palissandre de Para, Palissandre de Rio, Palissandre de Rose, Pau Amarelo, Pau Marfim, Pulai, Punah, Quaruba, Ramin, Saqui-Saqui, Sepetir, Sipo, Sucupira, Suren, Tauari, Tiama, Tola: anderes: anderes: geschliffen</t>
  </si>
  <si>
    <t>KAPITEL 44 - HOLZ UND HOLZWAREN; HOLZKOHLE: Holz, in der Längsrichtung gesägt oder gesäumt, gemessert oder geschält, auch gehobelt, geschliffen oder an den Enden verbunden, mit einer Dicke von mehr als 6 mm: tropisches Holz: anderes: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Obéché, Okoumé, Onzabili, Orey, Ovengkol, Ozigo, Padauk, Paldao, Palissandre de Guatemala, Palissandre de Para, Palissandre de Rio, Palissandre de Rose, Pau Amarelo, Pau Marfim, Pulai, Punah, Quaruba, Ramin, Saqui-Saqui, Sepetir, Sipo, Sucupira, Suren, Tauari, Teak, Tiama, Tola: anderes: anderes: geschliffen</t>
  </si>
  <si>
    <t>KAPITEL 44 - HOLZ UND HOLZWAREN; HOLZKOHLE: Holz, in der Längsrichtung gesägt oder gesäumt, gemessert oder geschält, auch gehobelt, geschliffen oder an den Enden verbunden, mit einer Dicke von mehr als 6 mm: tropisches Holz: anderes: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Obéché, Okoumé, Onzabili, Orey, Ovengkol, Ozigo, Padauk, Paldao, Palissandre de Guatemala, Palissandre de Para, Palissandre de Rio, Palissandre de Rose, Pau Amarelo, Pau Marfim, Pulai, Punah, Quaruba, Ramin, Saqui-Saqui, Sepetir, Sipo, Sucupira, Suren, Tauari, Tiama, Tola: anderes: anderes: anderes</t>
  </si>
  <si>
    <t>KAPITEL 44 - HOLZ UND HOLZWAREN; HOLZKOHLE: Holz, in der Längsrichtung gesägt oder gesäumt, gemessert oder geschält, auch gehobelt, geschliffen oder an den Enden verbunden, mit einer Dicke von mehr als 6 mm: tropisches Holz: anderes: Abura, Acajou d'Afrique, Afrormosia, Ako, Andiroba, Aningré, Avodiré, Azobé, Balau, Bossé clair, Bossé foncé, Cativo, Cedro, Dabema, Dibétou, Doussié, Framiré, Freijo, Fromager, Fuma, Geronggang, Ilomba, Ipé, Jaboty, Jelutong, Jequitiba, Jongkong, Kapur, Kempas, Keruing, Kosipo, Kotibé, Koto, Limba, Louro, Maçaranduba, Makoré, Mandioqueira, Mansonia, Mengkulang, Merawan, Merbau, Merpauh, Mersawa, Moabi, Niangon, Nyatoh, Obéché, Okoumé, Onzabili, Orey, Ovengkol, Ozigo, Padauk, Paldao, Palissandre de Guatemala, Palissandre de Para, Palissandre de Rio, Palissandre de Rose, Pau Amarelo, Pau Marfim, Pulai, Punah, Quaruba, Ramin, Saqui-Saqui, Sepetir, Sipo, Sucupira, Suren, Tauari, Teak, Tiama, Tola: anderes: anderes: anderes</t>
  </si>
  <si>
    <t>roh oder nur geschliffen (Rohplatten)</t>
  </si>
  <si>
    <t>roh oder nur geschliffen</t>
  </si>
  <si>
    <t>KAPITEL 44 - HOLZ UND HOLZWAREN; HOLZKOHLE: Spanplatten, „oriented strand board“-Platten (OSB) und ähnliche Platten (z. B. „waferboard“-Platten) aus Holz oder anderen holzigen Stoffen, auch mit Harz oder anderen organischen Bindemitteln hergestellt: aus Holz: Spanplatten: roh oder nur geschliffen (Rohplatten)</t>
  </si>
  <si>
    <t>KAPITEL 44 - HOLZ UND HOLZWAREN; HOLZKOHLE: Spanplatten, „oriented strand board“-Platten (OSB) und ähnliche Platten (z. B. „waferboard“-Platten) aus Holz oder anderen holzigen Stoffen, auch mit Harz oder anderen organischen Bindemitteln hergestellt: aus Holz: Spanplatten: roh oder nur geschliffen</t>
  </si>
  <si>
    <t>KAPITEL 44 - HOLZ UND HOLZWAREN; HOLZKOHLE: Spanplatten, „oriented strand board“-Platten (OSB) und ähnliche Platten (z. B. „waferboard“-Platten) aus Holz oder anderen holzigen Stoffen, auch mit Harz oder anderen organischen Bindemitteln hergestellt: aus Holz: „oriented strand board“-Platten (OSB): roh oder nur geschliffen (Rohplatten)</t>
  </si>
  <si>
    <t>KAPITEL 44 - HOLZ UND HOLZWAREN; HOLZKOHLE: Spanplatten, „oriented strand board“-Platten (OSB) und ähnliche Platten (z. B. „waferboard“-Platten) aus Holz oder anderen holzigen Stoffen, auch mit Harz oder anderen organischen Bindemitteln hergestellt: aus Holz: „oriented strand board“-Platten (OSB): roh oder nur geschliffen</t>
  </si>
  <si>
    <t>weder mechanisch bearbeitet noch oberflächenbeschichtet (Rohplatten)</t>
  </si>
  <si>
    <t>weder mechanisch bearbeitet noch oberflächenbeschichtet</t>
  </si>
  <si>
    <t>KAPITEL 44 - HOLZ UND HOLZWAREN; HOLZKOHLE: Faserplatten aus Holz oder anderen holzigen Stoffen, auch mit Harz oder anderen organischen Stoffen hergestellt: mitteldichte Faserplatten (MDF): mit einer Dicke von 5 mm oder weniger: weder mechanisch bearbeitet noch oberflächenbeschichtet (Rohplatten)</t>
  </si>
  <si>
    <t>KAPITEL 44 - HOLZ UND HOLZWAREN; HOLZKOHLE: Faserplatten aus Holz oder anderen holzigen Stoffen, auch mit Harz oder anderen organischen Stoffen hergestellt: mitteldichte Faserplatten (MDF): mit einer Dicke von 5 mm oder weniger: weder mechanisch bearbeitet noch oberflächenbeschichtet</t>
  </si>
  <si>
    <t>KAPITEL 44 - HOLZ UND HOLZWAREN; HOLZKOHLE: Faserplatten aus Holz oder anderen holzigen Stoffen, auch mit Harz oder anderen organischen Stoffen hergestellt: mitteldichte Faserplatten (MDF): mit einer Dicke von mehr als 5 mm bis 9 mm: weder mechanisch bearbeitet noch oberflächenbeschichtet (Rohplatten)</t>
  </si>
  <si>
    <t>KAPITEL 44 - HOLZ UND HOLZWAREN; HOLZKOHLE: Faserplatten aus Holz oder anderen holzigen Stoffen, auch mit Harz oder anderen organischen Stoffen hergestellt: mitteldichte Faserplatten (MDF): mit einer Dicke von mehr als 5 mm bis 9 mm: weder mechanisch bearbeitet noch oberflächenbeschichtet</t>
  </si>
  <si>
    <t>KAPITEL 44 - HOLZ UND HOLZWAREN; HOLZKOHLE: Faserplatten aus Holz oder anderen holzigen Stoffen, auch mit Harz oder anderen organischen Stoffen hergestellt: mitteldichte Faserplatten (MDF): mit einer Dicke von mehr als 9 mm: weder mechanisch bearbeitet noch oberflächenbeschichtet (Rohplatten)</t>
  </si>
  <si>
    <t>KAPITEL 44 - HOLZ UND HOLZWAREN; HOLZKOHLE: Faserplatten aus Holz oder anderen holzigen Stoffen, auch mit Harz oder anderen organischen Stoffen hergestellt: mitteldichte Faserplatten (MDF): mit einer Dicke von mehr als 9 mm: weder mechanisch bearbeitet noch oberflächenbeschichtet</t>
  </si>
  <si>
    <t>KAPITEL 44 - HOLZ UND HOLZWAREN; HOLZKOHLE: Faserplatten aus Holz oder anderen holzigen Stoffen, auch mit Harz oder anderen organischen Stoffen hergestellt: andere: mit einer Dichte von mehr als 0,8 g/cm³: weder mechanisch bearbeitet noch oberflächenbeschichtet (Rohplatten)</t>
  </si>
  <si>
    <t>KAPITEL 44 - HOLZ UND HOLZWAREN; HOLZKOHLE: Faserplatten aus Holz oder anderen holzigen Stoffen, auch mit Harz oder anderen organischen Stoffen hergestellt: andere: mit einer Dichte von mehr als 0,8 g/cm³: weder mechanisch bearbeitet noch oberflächenbeschichtet</t>
  </si>
  <si>
    <t>KAPITEL 44 - HOLZ UND HOLZWAREN; HOLZKOHLE: Faserplatten aus Holz oder anderen holzigen Stoffen, auch mit Harz oder anderen organischen Stoffen hergestellt: andere: mit einer Dichte von 0,5 g/cm³ oder weniger: weder mechanisch bearbeitet noch oberflächenbeschichtet (Rohplatten)</t>
  </si>
  <si>
    <t>KAPITEL 44 - HOLZ UND HOLZWAREN; HOLZKOHLE: Faserplatten aus Holz oder anderen holzigen Stoffen, auch mit Harz oder anderen organischen Stoffen hergestellt: andere: mit einer Dichte von 0,5 g/cm³ oder weniger: weder mechanisch bearbeitet noch oberflächenbeschichtet</t>
  </si>
  <si>
    <t>KAPITEL 44 - HOLZ UND HOLZWAREN; HOLZKOHLE: Andere Waren aus Holz: andere: andere: andere</t>
  </si>
  <si>
    <t>KAPITEL 44 - HOLZ UND HOLZWAREN; HOLZKOHLE: Andere Waren aus Holz: andere: andere: andere: andere</t>
  </si>
  <si>
    <t>aus Wolle oder feinen Tierhaaren</t>
  </si>
  <si>
    <t>KAPITEL 57 - TEPPICHE UND ANDERE FUßBODENBELÄGE, AUS SPINNSTOFFEN: Teppiche und andere Fußbodenbeläge, aus Spinnstoffen (einschließlich Kunstrasen), getuftet (Nadelflor), auch konfektioniert: aus Wolle oder feinen Tierhaaren</t>
  </si>
  <si>
    <t>KAPITEL 57 - TEPPICHE UND ANDERE FUßBODENBELÄGE, AUS SPINNSTOFFEN: Teppiche und andere Fußbodenbeläge, aus Spinnstoffen, getuftet (Nadelflor), auch konfektioniert: aus Wolle oder feinen Tierhaaren</t>
  </si>
  <si>
    <t>Fliesen mit einer Oberfläche von 1 m2 oder weniger</t>
  </si>
  <si>
    <t>KAPITEL 57 - TEPPICHE UND ANDERE FUßBODENBELÄGE, AUS SPINNSTOFFEN: Teppiche und andere Fußbodenbeläge, aus Spinnstoffen (einschließlich Kunstrasen), getuftet (Nadelflor), auch konfektioniert: aus anderen Spinnstoffen: Fliesen mit einer Oberfläche von 1 m2 oder weniger</t>
  </si>
  <si>
    <t>KAPITEL 57 - TEPPICHE UND ANDERE FUßBODENBELÄGE, AUS SPINNSTOFFEN: Teppiche und andere Fußbodenbeläge, aus Spinnstoffen, getuftet (Nadelflor), auch konfektioniert: aus anderen Spinnstoffen: Fliesen mit einer Oberfläche von 1 m2 oder weniger</t>
  </si>
  <si>
    <t>KAPITEL 57 - TEPPICHE UND ANDERE FUßBODENBELÄGE, AUS SPINNSTOFFEN: Teppiche und andere Fußbodenbeläge, aus Spinnstoffen (einschließlich Kunstrasen), getuftet (Nadelflor), auch konfektioniert: aus anderen Spinnstoffen: andere</t>
  </si>
  <si>
    <t>KAPITEL 57 - TEPPICHE UND ANDERE FUßBODENBELÄGE, AUS SPINNSTOFFEN: Teppiche und andere Fußbodenbeläge, aus Spinnstoffen, getuftet (Nadelflor), auch konfektioniert: aus anderen Spinnstoffen: andere</t>
  </si>
  <si>
    <t>Gewebe, mit Leim oder stärkehaltigen Stoffen bestrichen, von der zum Einbinden von Büchern, zum Herstellen von Futteralen, Kartonagen oder zu ähnlichen Zwecken verwendeten Art</t>
  </si>
  <si>
    <t>KAPITEL 59 - GETRÄNKTE, BESTRICHENE, ÜBERZOGENE ODER LAMINIERTE GEWEBE; WAREN DES TECHNISCHEN BEDARFS, AUS SPINNSTOFFEN: Gewebe, mit Leim oder stärkehaltigen Stoffen bestrichen, von der zum Einbinden von Büchern, zum Herstellen von Futteralen, Kartonagen oder zu ähnlichen Zwecken verwendeten Art; Pausleinwand; präparierte Malleinwand; Bougram und ähnliche steife Gewebe, von der für die Hutmacherei verwendeten Art: Gewebe, mit Leim oder stärkehaltigen Stoffen bestrichen, von der zum Einbinden von Büchern, zum Herstellen von Futteralen, Kartonagen oder zu ähnlichen Zwecken verwendeten Art</t>
  </si>
  <si>
    <t>KAPITEL 59 - GETRÄNKTE, BESTRICHENE, ÜBERZOGENE ODER MIT LAGEN VERSEHENE GEWEBE; WAREN DES TECHNISCHEN BEDARFS, AUS SPINNSTOFFEN: Gewebe, mit Leim oder stärkehaltigen Stoffen bestrichen, von der zum Einbinden von Büchern, zum Herstellen von Futteralen, Kartonagen oder zu ähnlichen Zwecken verwendeten Art; Pausleinwand; präparierte Malleinwand; Bougram und ähnliche steife Gewebe, von der für die Hutmacherei verwendeten Art: Gewebe, mit Leim oder stärkehaltigen Stoffen bestrichen, von der zum Einbinden von Büchern, zum Herstellen von Futteralen, Kartonagen oder zu ähnlichen Zwecken verwendeten Art</t>
  </si>
  <si>
    <t>KAPITEL 59 - GETRÄNKTE, BESTRICHENE, ÜBERZOGENE ODER LAMINIERTE GEWEBE; WAREN DES TECHNISCHEN BEDARFS, AUS SPINNSTOFFEN: Gewebe, mit Leim oder stärkehaltigen Stoffen bestrichen, von der zum Einbinden von Büchern, zum Herstellen von Futteralen, Kartonagen oder zu ähnlichen Zwecken verwendeten Art; Pausleinwand; präparierte Malleinwand; Bougram und ähnliche steife Gewebe, von der für die Hutmacherei verwendeten Art: andere</t>
  </si>
  <si>
    <t>KAPITEL 59 - GETRÄNKTE, BESTRICHENE, ÜBERZOGENE ODER MIT LAGEN VERSEHENE GEWEBE; WAREN DES TECHNISCHEN BEDARFS, AUS SPINNSTOFFEN: Gewebe, mit Leim oder stärkehaltigen Stoffen bestrichen, von der zum Einbinden von Büchern, zum Herstellen von Futteralen, Kartonagen oder zu ähnlichen Zwecken verwendeten Art; Pausleinwand; präparierte Malleinwand; Bougram und ähnliche steife Gewebe, von der für die Hutmacherei verwendeten Art: andere</t>
  </si>
  <si>
    <t>mit Kautschuk getränkt</t>
  </si>
  <si>
    <t>KAPITEL 59 - GETRÄNKTE, BESTRICHENE, ÜBERZOGENE ODER LAMINIERTE GEWEBE; WAREN DES TECHNISCHEN BEDARFS, AUS SPINNSTOFFEN: Reifencordgewebe aus hochfesten Garnen aus Nylon oder anderen Polyamiden, Polyestern oder Viskose: aus Nylon oder anderen Polyamiden: mit Kautschuk getränkt</t>
  </si>
  <si>
    <t>KAPITEL 59 - GETRÄNKTE, BESTRICHENE, ÜBERZOGENE ODER MIT LAGEN VERSEHENE GEWEBE; WAREN DES TECHNISCHEN BEDARFS, AUS SPINNSTOFFEN: Reifencordgewebe aus hochfesten Garnen aus Nylon oder anderen Polyamiden, Polyestern oder Viskose: aus Nylon oder anderen Polyamiden: mit Kautschuk getränkt</t>
  </si>
  <si>
    <t>KAPITEL 59 - GETRÄNKTE, BESTRICHENE, ÜBERZOGENE ODER LAMINIERTE GEWEBE; WAREN DES TECHNISCHEN BEDARFS, AUS SPINNSTOFFEN: Reifencordgewebe aus hochfesten Garnen aus Nylon oder anderen Polyamiden, Polyestern oder Viskose: aus Nylon oder anderen Polyamiden: andere</t>
  </si>
  <si>
    <t>KAPITEL 59 - GETRÄNKTE, BESTRICHENE, ÜBERZOGENE ODER MIT LAGEN VERSEHENE GEWEBE; WAREN DES TECHNISCHEN BEDARFS, AUS SPINNSTOFFEN: Reifencordgewebe aus hochfesten Garnen aus Nylon oder anderen Polyamiden, Polyestern oder Viskose: aus Nylon oder anderen Polyamiden: andere</t>
  </si>
  <si>
    <t>KAPITEL 59 - GETRÄNKTE, BESTRICHENE, ÜBERZOGENE ODER LAMINIERTE GEWEBE; WAREN DES TECHNISCHEN BEDARFS, AUS SPINNSTOFFEN: Reifencordgewebe aus hochfesten Garnen aus Nylon oder anderen Polyamiden, Polyestern oder Viskose: aus Polyestern: mit Kautschuk getränkt</t>
  </si>
  <si>
    <t>KAPITEL 59 - GETRÄNKTE, BESTRICHENE, ÜBERZOGENE ODER MIT LAGEN VERSEHENE GEWEBE; WAREN DES TECHNISCHEN BEDARFS, AUS SPINNSTOFFEN: Reifencordgewebe aus hochfesten Garnen aus Nylon oder anderen Polyamiden, Polyestern oder Viskose: aus Polyestern: mit Kautschuk getränkt</t>
  </si>
  <si>
    <t>KAPITEL 59 - GETRÄNKTE, BESTRICHENE, ÜBERZOGENE ODER LAMINIERTE GEWEBE; WAREN DES TECHNISCHEN BEDARFS, AUS SPINNSTOFFEN: Reifencordgewebe aus hochfesten Garnen aus Nylon oder anderen Polyamiden, Polyestern oder Viskose: aus Polyestern: andere</t>
  </si>
  <si>
    <t>KAPITEL 59 - GETRÄNKTE, BESTRICHENE, ÜBERZOGENE ODER MIT LAGEN VERSEHENE GEWEBE; WAREN DES TECHNISCHEN BEDARFS, AUS SPINNSTOFFEN: Reifencordgewebe aus hochfesten Garnen aus Nylon oder anderen Polyamiden, Polyestern oder Viskose: aus Polyestern: andere</t>
  </si>
  <si>
    <t>KAPITEL 59 - GETRÄNKTE, BESTRICHENE, ÜBERZOGENE ODER LAMINIERTE GEWEBE; WAREN DES TECHNISCHEN BEDARFS, AUS SPINNSTOFFEN: Reifencordgewebe aus hochfesten Garnen aus Nylon oder anderen Polyamiden, Polyestern oder Viskose: andere: mit Kautschuk getränkt</t>
  </si>
  <si>
    <t>KAPITEL 59 - GETRÄNKTE, BESTRICHENE, ÜBERZOGENE ODER MIT LAGEN VERSEHENE GEWEBE; WAREN DES TECHNISCHEN BEDARFS, AUS SPINNSTOFFEN: Reifencordgewebe aus hochfesten Garnen aus Nylon oder anderen Polyamiden, Polyestern oder Viskose: andere: mit Kautschuk getränkt</t>
  </si>
  <si>
    <t>KAPITEL 59 - GETRÄNKTE, BESTRICHENE, ÜBERZOGENE ODER LAMINIERTE GEWEBE; WAREN DES TECHNISCHEN BEDARFS, AUS SPINNSTOFFEN: Reifencordgewebe aus hochfesten Garnen aus Nylon oder anderen Polyamiden, Polyestern oder Viskose: andere: andere</t>
  </si>
  <si>
    <t>KAPITEL 59 - GETRÄNKTE, BESTRICHENE, ÜBERZOGENE ODER MIT LAGEN VERSEHENE GEWEBE; WAREN DES TECHNISCHEN BEDARFS, AUS SPINNSTOFFEN: Reifencordgewebe aus hochfesten Garnen aus Nylon oder anderen Polyamiden, Polyestern oder Viskose: andere: andere</t>
  </si>
  <si>
    <t>getränkt</t>
  </si>
  <si>
    <t>KAPITEL 59 - GETRÄNKTE, BESTRICHENE, ÜBERZOGENE ODER LAMINIERTE GEWEBE; WAREN DES TECHNISCHEN BEDARFS, AUS SPINNSTOFFEN: Gewebe, mit Kunststoff getränkt, bestrichen, überzogen oder laminiert, andere als solche der Position 5902: mit Poly(vinylchlorid): getränkt</t>
  </si>
  <si>
    <t>KAPITEL 59 - GETRÄNKTE, BESTRICHENE, ÜBERZOGENE ODER MIT LAGEN VERSEHENE GEWEBE; WAREN DES TECHNISCHEN BEDARFS, AUS SPINNSTOFFEN: Gewebe, mit Kunststoff getränkt, bestrichen, überzogen oder laminiert, andere als solche der Position 5902: mit Poly(vinylchlorid): getränkt</t>
  </si>
  <si>
    <t>bestrichen, überzogen oder laminiert</t>
  </si>
  <si>
    <t>KAPITEL 59 - GETRÄNKTE, BESTRICHENE, ÜBERZOGENE ODER LAMINIERTE GEWEBE; WAREN DES TECHNISCHEN BEDARFS, AUS SPINNSTOFFEN: Gewebe, mit Kunststoff getränkt, bestrichen, überzogen oder laminiert, andere als solche der Position 5902: mit Poly(vinylchlorid): bestrichen, überzogen oder laminiert</t>
  </si>
  <si>
    <t>KAPITEL 59 - GETRÄNKTE, BESTRICHENE, ÜBERZOGENE ODER MIT LAGEN VERSEHENE GEWEBE; WAREN DES TECHNISCHEN BEDARFS, AUS SPINNSTOFFEN: Gewebe, mit Kunststoff getränkt, bestrichen, überzogen oder laminiert, andere als solche der Position 5902: mit Poly(vinylchlorid): bestrichen, überzogen oder laminiert</t>
  </si>
  <si>
    <t>KAPITEL 59 - GETRÄNKTE, BESTRICHENE, ÜBERZOGENE ODER LAMINIERTE GEWEBE; WAREN DES TECHNISCHEN BEDARFS, AUS SPINNSTOFFEN: Gewebe, mit Kunststoff getränkt, bestrichen, überzogen oder laminiert, andere als solche der Position 5902: mit Polyurethan: getränkt</t>
  </si>
  <si>
    <t>KAPITEL 59 - GETRÄNKTE, BESTRICHENE, ÜBERZOGENE ODER MIT LAGEN VERSEHENE GEWEBE; WAREN DES TECHNISCHEN BEDARFS, AUS SPINNSTOFFEN: Gewebe, mit Kunststoff getränkt, bestrichen, überzogen oder laminiert, andere als solche der Position 5902: mit Polyurethan: getränkt</t>
  </si>
  <si>
    <t>KAPITEL 59 - GETRÄNKTE, BESTRICHENE, ÜBERZOGENE ODER LAMINIERTE GEWEBE; WAREN DES TECHNISCHEN BEDARFS, AUS SPINNSTOFFEN: Gewebe, mit Kunststoff getränkt, bestrichen, überzogen oder laminiert, andere als solche der Position 5902: mit Polyurethan: bestrichen, überzogen oder laminiert</t>
  </si>
  <si>
    <t>KAPITEL 59 - GETRÄNKTE, BESTRICHENE, ÜBERZOGENE ODER MIT LAGEN VERSEHENE GEWEBE; WAREN DES TECHNISCHEN BEDARFS, AUS SPINNSTOFFEN: Gewebe, mit Kunststoff getränkt, bestrichen, überzogen oder laminiert, andere als solche der Position 5902: mit Polyurethan: bestrichen, überzogen oder laminiert</t>
  </si>
  <si>
    <t>KAPITEL 59 - GETRÄNKTE, BESTRICHENE, ÜBERZOGENE ODER LAMINIERTE GEWEBE; WAREN DES TECHNISCHEN BEDARFS, AUS SPINNSTOFFEN: Gewebe, mit Kunststoff getränkt, bestrichen, überzogen oder laminiert, andere als solche der Position 5902: andere: getränkt</t>
  </si>
  <si>
    <t>KAPITEL 59 - GETRÄNKTE, BESTRICHENE, ÜBERZOGENE ODER MIT LAGEN VERSEHENE GEWEBE; WAREN DES TECHNISCHEN BEDARFS, AUS SPINNSTOFFEN: Gewebe, mit Kunststoff getränkt, bestrichen, überzogen oder laminiert, andere als solche der Position 5902: andere: getränkt</t>
  </si>
  <si>
    <t>mit Cellulosederivaten oder anderem Kunststoff, mit Schauseite aus Spinnstoffen</t>
  </si>
  <si>
    <t>KAPITEL 59 - GETRÄNKTE, BESTRICHENE, ÜBERZOGENE ODER LAMINIERTE GEWEBE; WAREN DES TECHNISCHEN BEDARFS, AUS SPINNSTOFFEN: Gewebe, mit Kunststoff getränkt, bestrichen, überzogen oder laminiert, andere als solche der Position 5902: andere: bestrichen, überzogen oder laminiert: mit Cellulosederivaten oder anderem Kunststoff, mit Schauseite aus Spinnstoffen</t>
  </si>
  <si>
    <t>KAPITEL 59 - GETRÄNKTE, BESTRICHENE, ÜBERZOGENE ODER MIT LAGEN VERSEHENE GEWEBE; WAREN DES TECHNISCHEN BEDARFS, AUS SPINNSTOFFEN: Gewebe, mit Kunststoff getränkt, bestrichen, überzogen oder laminiert, andere als solche der Position 5902: andere: bestrichen, überzogen oder laminiert: mit Cellulosederivaten oder anderem Kunststoff, mit Schauseite aus Spinnstoffen</t>
  </si>
  <si>
    <t>KAPITEL 59 - GETRÄNKTE, BESTRICHENE, ÜBERZOGENE ODER LAMINIERTE GEWEBE; WAREN DES TECHNISCHEN BEDARFS, AUS SPINNSTOFFEN: Gewebe, mit Kunststoff getränkt, bestrichen, überzogen oder laminiert, andere als solche der Position 5902: andere: bestrichen, überzogen oder laminiert: andere</t>
  </si>
  <si>
    <t>KAPITEL 59 - GETRÄNKTE, BESTRICHENE, ÜBERZOGENE ODER MIT LAGEN VERSEHENE GEWEBE; WAREN DES TECHNISCHEN BEDARFS, AUS SPINNSTOFFEN: Gewebe, mit Kunststoff getränkt, bestrichen, überzogen oder laminiert, andere als solche der Position 5902: andere: bestrichen, überzogen oder laminiert: andere</t>
  </si>
  <si>
    <t>Linoleum</t>
  </si>
  <si>
    <t>KAPITEL 59 - GETRÄNKTE, BESTRICHENE, ÜBERZOGENE ODER LAMINIERTE GEWEBE; WAREN DES TECHNISCHEN BEDARFS, AUS SPINNSTOFFEN: Linoleum, auch zugeschnitten; Fußbodenbeläge, aus einer Spinnstoffunterlage mit einer Deckschicht oder einem Überzug bestehend, auch zugeschnitten: Linoleum</t>
  </si>
  <si>
    <t>KAPITEL 59 - GETRÄNKTE, BESTRICHENE, ÜBERZOGENE ODER MIT LAGEN VERSEHENE GEWEBE; WAREN DES TECHNISCHEN BEDARFS, AUS SPINNSTOFFEN: Linoleum, auch zugeschnitten; Fußbodenbeläge, aus einer Spinnstoffunterlage mit einer Deckschicht oder einem Überzug bestehend, auch zugeschnitten: Linoleum</t>
  </si>
  <si>
    <t>KAPITEL 59 - GETRÄNKTE, BESTRICHENE, ÜBERZOGENE ODER LAMINIERTE GEWEBE; WAREN DES TECHNISCHEN BEDARFS, AUS SPINNSTOFFEN: Linoleum, auch zugeschnitten; Fußbodenbeläge, aus einer Spinnstoffunterlage mit einer Deckschicht oder einem Überzug bestehend, auch zugeschnitten: andere</t>
  </si>
  <si>
    <t>KAPITEL 59 - GETRÄNKTE, BESTRICHENE, ÜBERZOGENE ODER MIT LAGEN VERSEHENE GEWEBE; WAREN DES TECHNISCHEN BEDARFS, AUS SPINNSTOFFEN: Linoleum, auch zugeschnitten; Fußbodenbeläge, aus einer Spinnstoffunterlage mit einer Deckschicht oder einem Überzug bestehend, auch zugeschnitten: andere</t>
  </si>
  <si>
    <t>aus parallel auf eine Unterlage aufgebrachten Garnen bestehend</t>
  </si>
  <si>
    <t>KAPITEL 59 - GETRÄNKTE, BESTRICHENE, ÜBERZOGENE ODER LAMINIERTE GEWEBE; WAREN DES TECHNISCHEN BEDARFS, AUS SPINNSTOFFEN: Wandverkleidungen aus Spinnstoffen: aus parallel auf eine Unterlage aufgebrachten Garnen bestehend</t>
  </si>
  <si>
    <t>KAPITEL 59 - GETRÄNKTE, BESTRICHENE, ÜBERZOGENE ODER MIT LAGEN VERSEHENE GEWEBE; WAREN DES TECHNISCHEN BEDARFS, AUS SPINNSTOFFEN: Wandverkleidungen aus Spinnstoffen: aus parallel auf eine Unterlage aufgebrachten Garnen bestehend</t>
  </si>
  <si>
    <t>aus Flachs</t>
  </si>
  <si>
    <t>KAPITEL 59 - GETRÄNKTE, BESTRICHENE, ÜBERZOGENE ODER LAMINIERTE GEWEBE; WAREN DES TECHNISCHEN BEDARFS, AUS SPINNSTOFFEN: Wandverkleidungen aus Spinnstoffen: andere: aus Flachs</t>
  </si>
  <si>
    <t>KAPITEL 59 - GETRÄNKTE, BESTRICHENE, ÜBERZOGENE ODER MIT LAGEN VERSEHENE GEWEBE; WAREN DES TECHNISCHEN BEDARFS, AUS SPINNSTOFFEN: Wandverkleidungen aus Spinnstoffen: andere: aus Flachs</t>
  </si>
  <si>
    <t>aus Jute</t>
  </si>
  <si>
    <t>KAPITEL 59 - GETRÄNKTE, BESTRICHENE, ÜBERZOGENE ODER LAMINIERTE GEWEBE; WAREN DES TECHNISCHEN BEDARFS, AUS SPINNSTOFFEN: Wandverkleidungen aus Spinnstoffen: andere: aus Jute</t>
  </si>
  <si>
    <t>KAPITEL 59 - GETRÄNKTE, BESTRICHENE, ÜBERZOGENE ODER MIT LAGEN VERSEHENE GEWEBE; WAREN DES TECHNISCHEN BEDARFS, AUS SPINNSTOFFEN: Wandverkleidungen aus Spinnstoffen: andere: aus Jute</t>
  </si>
  <si>
    <t>aus Chemiefasern</t>
  </si>
  <si>
    <t>KAPITEL 59 - GETRÄNKTE, BESTRICHENE, ÜBERZOGENE ODER LAMINIERTE GEWEBE; WAREN DES TECHNISCHEN BEDARFS, AUS SPINNSTOFFEN: Wandverkleidungen aus Spinnstoffen: andere: aus Chemiefasern</t>
  </si>
  <si>
    <t>KAPITEL 59 - GETRÄNKTE, BESTRICHENE, ÜBERZOGENE ODER MIT LAGEN VERSEHENE GEWEBE; WAREN DES TECHNISCHEN BEDARFS, AUS SPINNSTOFFEN: Wandverkleidungen aus Spinnstoffen: andere: aus Chemiefasern</t>
  </si>
  <si>
    <t>KAPITEL 59 - GETRÄNKTE, BESTRICHENE, ÜBERZOGENE ODER LAMINIERTE GEWEBE; WAREN DES TECHNISCHEN BEDARFS, AUS SPINNSTOFFEN: Wandverkleidungen aus Spinnstoffen: andere: andere</t>
  </si>
  <si>
    <t>KAPITEL 59 - GETRÄNKTE, BESTRICHENE, ÜBERZOGENE ODER MIT LAGEN VERSEHENE GEWEBE; WAREN DES TECHNISCHEN BEDARFS, AUS SPINNSTOFFEN: Wandverkleidungen aus Spinnstoffen: andere: andere</t>
  </si>
  <si>
    <t>Klebebänder, mit einer Breite von 20 cm oder weniger</t>
  </si>
  <si>
    <t>KAPITEL 59 - GETRÄNKTE, BESTRICHENE, ÜBERZOGENE ODER LAMINIERTE GEWEBE; WAREN DES TECHNISCHEN BEDARFS, AUS SPINNSTOFFEN: Kautschutierte Gewebe, andere als solche der Position 5902: Klebebänder, mit einer Breite von 20 cm oder weniger</t>
  </si>
  <si>
    <t>KAPITEL 59 - GETRÄNKTE, BESTRICHENE, ÜBERZOGENE ODER MIT LAGEN VERSEHENE GEWEBE; WAREN DES TECHNISCHEN BEDARFS, AUS SPINNSTOFFEN: Kautschutierte Gewebe, andere als solche der Position 5902: Klebebänder, mit einer Breite von 20 cm oder weniger</t>
  </si>
  <si>
    <t>aus Gewirken oder Gestricken</t>
  </si>
  <si>
    <t>KAPITEL 59 - GETRÄNKTE, BESTRICHENE, ÜBERZOGENE ODER LAMINIERTE GEWEBE; WAREN DES TECHNISCHEN BEDARFS, AUS SPINNSTOFFEN: Kautschutierte Gewebe, andere als solche der Position 5902: andere: aus Gewirken oder Gestricken</t>
  </si>
  <si>
    <t>KAPITEL 59 - GETRÄNKTE, BESTRICHENE, ÜBERZOGENE ODER MIT LAGEN VERSEHENE GEWEBE; WAREN DES TECHNISCHEN BEDARFS, AUS SPINNSTOFFEN: Kautschutierte Gewebe, andere als solche der Position 5902: andere: aus Gewirken oder Gestricken</t>
  </si>
  <si>
    <t>gewebeähnliche Erzeugnisse im Sinne der Anmerkung 5 c) zu diesem Kapitel</t>
  </si>
  <si>
    <t>gewebeähnliche Erzeugnisse im Sinne der Anmerkung 4 c) zu diesem Kapitel</t>
  </si>
  <si>
    <t>KAPITEL 59 - GETRÄNKTE, BESTRICHENE, ÜBERZOGENE ODER LAMINIERTE GEWEBE; WAREN DES TECHNISCHEN BEDARFS, AUS SPINNSTOFFEN: Kautschutierte Gewebe, andere als solche der Position 5902: andere: andere: gewebeähnliche Erzeugnisse im Sinne der Anmerkung 5 c) zu diesem Kapitel</t>
  </si>
  <si>
    <t>KAPITEL 59 - GETRÄNKTE, BESTRICHENE, ÜBERZOGENE ODER MIT LAGEN VERSEHENE GEWEBE; WAREN DES TECHNISCHEN BEDARFS, AUS SPINNSTOFFEN: Kautschutierte Gewebe, andere als solche der Position 5902: andere: andere: gewebeähnliche Erzeugnisse im Sinne der Anmerkung 4 c) zu diesem Kapitel</t>
  </si>
  <si>
    <t>KAPITEL 59 - GETRÄNKTE, BESTRICHENE, ÜBERZOGENE ODER LAMINIERTE GEWEBE; WAREN DES TECHNISCHEN BEDARFS, AUS SPINNSTOFFEN: Kautschutierte Gewebe, andere als solche der Position 5902: andere: andere: andere</t>
  </si>
  <si>
    <t>KAPITEL 59 - GETRÄNKTE, BESTRICHENE, ÜBERZOGENE ODER MIT LAGEN VERSEHENE GEWEBE; WAREN DES TECHNISCHEN BEDARFS, AUS SPINNSTOFFEN: Kautschutierte Gewebe, andere als solche der Position 5902: andere: andere: andere</t>
  </si>
  <si>
    <t>Andere Gewebe, getränkt, bestrichen oder überzogen; bemalte Gewebe für Theaterdekorationen, Atelierhintergründe oder dergleichen</t>
  </si>
  <si>
    <t>KAPITEL 59 - GETRÄNKTE, BESTRICHENE, ÜBERZOGENE ODER LAMINIERTE GEWEBE; WAREN DES TECHNISCHEN BEDARFS, AUS SPINNSTOFFEN: Andere Gewebe, getränkt, bestrichen oder überzogen; bemalte Gewebe für Theaterdekorationen, Atelierhintergründe oder dergleichen</t>
  </si>
  <si>
    <t>KAPITEL 59 - GETRÄNKTE, BESTRICHENE, ÜBERZOGENE ODER MIT LAGEN VERSEHENE GEWEBE; WAREN DES TECHNISCHEN BEDARFS, AUS SPINNSTOFFEN: Andere Gewebe, getränkt, bestrichen oder überzogen; bemalte Gewebe für Theaterdekorationen, Atelierhintergründe oder dergleichen</t>
  </si>
  <si>
    <t>Dochte, gewebt, geflochten, gewirkt oder gestrickt, aus Spinnstoffen, für Lampen, Kocher, Feuerzeuge, Kerzen oder dergleichen; Glühstrümpfe und schlauchförmige Gewirke oder Gestricke für Glühstrümpfe, auch getränkt</t>
  </si>
  <si>
    <t>KAPITEL 59 - GETRÄNKTE, BESTRICHENE, ÜBERZOGENE ODER LAMINIERTE GEWEBE; WAREN DES TECHNISCHEN BEDARFS, AUS SPINNSTOFFEN: Dochte, gewebt, geflochten, gewirkt oder gestrickt, aus Spinnstoffen, für Lampen, Kocher, Feuerzeuge, Kerzen oder dergleichen; Glühstrümpfe und schlauchförmige Gewirke oder Gestricke für Glühstrümpfe, auch getränkt</t>
  </si>
  <si>
    <t>KAPITEL 59 - GETRÄNKTE, BESTRICHENE, ÜBERZOGENE ODER MIT LAGEN VERSEHENE GEWEBE; WAREN DES TECHNISCHEN BEDARFS, AUS SPINNSTOFFEN: Dochte, gewebt, geflochten, gewirkt oder gestrickt, aus Spinnstoffen, für Lampen, Kocher, Feuerzeuge, Kerzen oder dergleichen; Glühstrümpfe und schlauchförmige Gewirke oder Gestricke für Glühstrümpfe, auch getränkt</t>
  </si>
  <si>
    <t>aus synthetischen Chemiefasern</t>
  </si>
  <si>
    <t>KAPITEL 59 - GETRÄNKTE, BESTRICHENE, ÜBERZOGENE ODER LAMINIERTE GEWEBE; WAREN DES TECHNISCHEN BEDARFS, AUS SPINNSTOFFEN: Pumpenschläuche und ähnliche Schläuche, aus Spinnstoffen, auch mit Armaturen oder Zubehör aus anderen Stoffen: aus synthetischen Chemiefasern</t>
  </si>
  <si>
    <t>KAPITEL 59 - GETRÄNKTE, BESTRICHENE, ÜBERZOGENE ODER MIT LAGEN VERSEHENE GEWEBE; WAREN DES TECHNISCHEN BEDARFS, AUS SPINNSTOFFEN: Pumpenschläuche und ähnliche Schläuche, aus Spinnstoffen, auch mit Armaturen oder Zubehör aus anderen Stoffen: aus synthetischen Chemiefasern</t>
  </si>
  <si>
    <t>aus anderen Spinnstoffen</t>
  </si>
  <si>
    <t>KAPITEL 59 - GETRÄNKTE, BESTRICHENE, ÜBERZOGENE ODER LAMINIERTE GEWEBE; WAREN DES TECHNISCHEN BEDARFS, AUS SPINNSTOFFEN: Pumpenschläuche und ähnliche Schläuche, aus Spinnstoffen, auch mit Armaturen oder Zubehör aus anderen Stoffen: aus anderen Spinnstoffen</t>
  </si>
  <si>
    <t>KAPITEL 59 - GETRÄNKTE, BESTRICHENE, ÜBERZOGENE ODER MIT LAGEN VERSEHENE GEWEBE; WAREN DES TECHNISCHEN BEDARFS, AUS SPINNSTOFFEN: Pumpenschläuche und ähnliche Schläuche, aus Spinnstoffen, auch mit Armaturen oder Zubehör aus anderen Stoffen: aus anderen Spinnstoffen</t>
  </si>
  <si>
    <t>Förderbänder und Treibriemen, aus Spinnstoffen, auch mit Kunststoff getränkt, bestrichen, überzogen oder laminiert oder mit Metall oder anderen Stoffen verstärkt</t>
  </si>
  <si>
    <t>Förderbänder und Treibriemen, aus Spinnstoffen, auch mit Kunststoff getränkt, bestrichen, überzogen oder mit Lagen aus Kunststoff versehen oder mit Metall oder anderen Stoffen verstärkt</t>
  </si>
  <si>
    <t>KAPITEL 59 - GETRÄNKTE, BESTRICHENE, ÜBERZOGENE ODER LAMINIERTE GEWEBE; WAREN DES TECHNISCHEN BEDARFS, AUS SPINNSTOFFEN: Förderbänder und Treibriemen, aus Spinnstoffen, auch mit Kunststoff getränkt, bestrichen, überzogen oder laminiert oder mit Metall oder anderen Stoffen verstärkt</t>
  </si>
  <si>
    <t>KAPITEL 59 - GETRÄNKTE, BESTRICHENE, ÜBERZOGENE ODER MIT LAGEN VERSEHENE GEWEBE; WAREN DES TECHNISCHEN BEDARFS, AUS SPINNSTOFFEN: Förderbänder und Treibriemen, aus Spinnstoffen, auch mit Kunststoff getränkt, bestrichen, überzogen oder mit Lagen aus Kunststoff versehen oder mit Metall oder anderen Stoffen verstärkt</t>
  </si>
  <si>
    <t>Gewebe, Filze oder mit Filz belegte Gewebe, mit Kautschuk, Leder oder anderen Stoffen bestrichen, überzogen oder laminiert, von der zum Herstellen von Kratzengarnituren verwendeten Art, sowie ähnliche Erzeugnisse zu anderen technischen Zwecken, einschließlich Bänder aus mit Kautschuk getränktem Samt zum Überziehen von Kett- oder Warenbäumen</t>
  </si>
  <si>
    <t>Gewebe, Filze oder mit Filz belegte Gewebe, mit Kautschuk oder anderen Stoffen bestrichen oder überzogen oder mit Lagen aus Kautschuk, Leder oder anderen Stoffen versehen, von der zum Herstellen von Kratzengarnituren verwendeten Art, sowie ähnliche Erzeugnisse zu anderen technischen Zwecken, einschließlich Bänder aus mit Kautschuk getränktem Samt zum Überziehen von Kett- oder Warenbäumen</t>
  </si>
  <si>
    <t>KAPITEL 59 - GETRÄNKTE, BESTRICHENE, ÜBERZOGENE ODER LAMINIERTE GEWEBE; WAREN DES TECHNISCHEN BEDARFS, AUS SPINNSTOFFEN: Erzeugnisse und Waren des technischen Bedarfs, aus Spinnstoffen, aufgeführt in Anmerkung 8 zu diesem Kapitel: Gewebe, Filze oder mit Filz belegte Gewebe, mit Kautschuk, Leder oder anderen Stoffen bestrichen, überzogen oder laminiert, von der zum Herstellen von Kratzengarnituren verwendeten Art, sowie ähnliche Erzeugnisse zu anderen technischen Zwecken, einschließlich Bänder aus mit Kautschuk getränktem Samt zum Überziehen von Kett- oder Warenbäumen</t>
  </si>
  <si>
    <t>KAPITEL 59 - GETRÄNKTE, BESTRICHENE, ÜBERZOGENE ODER MIT LAGEN VERSEHENE GEWEBE; WAREN DES TECHNISCHEN BEDARFS, AUS SPINNSTOFFEN: Erzeugnisse und Waren des technischen Bedarfs, aus Spinnstoffen, aufgeführt in Anmerkung 7 zu diesem Kapitel: Gewebe, Filze oder mit Filz belegte Gewebe, mit Kautschuk oder anderen Stoffen bestrichen oder überzogen oder mit Lagen aus Kautschuk, Leder oder anderen Stoffen versehen, von der zum Herstellen von Kratzengarnituren verwendeten Art, sowie ähnliche Erzeugnisse zu anderen technischen Zwecken, einschließlich Bänder aus mit Kautschuk getränktem Samt zum Überziehen von Kett- oder Warenbäumen</t>
  </si>
  <si>
    <t>Müllergaze, auch konfektioniert</t>
  </si>
  <si>
    <t>KAPITEL 59 - GETRÄNKTE, BESTRICHENE, ÜBERZOGENE ODER LAMINIERTE GEWEBE; WAREN DES TECHNISCHEN BEDARFS, AUS SPINNSTOFFEN: Erzeugnisse und Waren des technischen Bedarfs, aus Spinnstoffen, aufgeführt in Anmerkung 8 zu diesem Kapitel: Müllergaze, auch konfektioniert</t>
  </si>
  <si>
    <t>KAPITEL 59 - GETRÄNKTE, BESTRICHENE, ÜBERZOGENE ODER MIT LAGEN VERSEHENE GEWEBE; WAREN DES TECHNISCHEN BEDARFS, AUS SPINNSTOFFEN: Erzeugnisse und Waren des technischen Bedarfs, aus Spinnstoffen, aufgeführt in Anmerkung 7 zu diesem Kapitel: Müllergaze, auch konfektioniert</t>
  </si>
  <si>
    <t>Gewebe von der auf Papiermaschinen verwendeten Art (z. B. Formiersiebe)</t>
  </si>
  <si>
    <t>KAPITEL 59 - GETRÄNKTE, BESTRICHENE, ÜBERZOGENE ODER LAMINIERTE GEWEBE; WAREN DES TECHNISCHEN BEDARFS, AUS SPINNSTOFFEN: Erzeugnisse und Waren des technischen Bedarfs, aus Spinnstoffen, aufgeführt in Anmerkung 8 zu diesem Kapitel: Gewebe und Filze, endlos oder mit Verbindungsvorrichtungen, von der auf Papiermaschinen oder ähnlichen Maschinen verwendeten Art (z. B. zum Herstellen von Halbstoff oder Asbestzement): mit einem Quadratmetergewicht von weniger als 650 g: aus Seide oder Chemiefasern: Gewebe von der auf Papiermaschinen verwendeten Art (z. B. Formiersiebe)</t>
  </si>
  <si>
    <t>KAPITEL 59 - GETRÄNKTE, BESTRICHENE, ÜBERZOGENE ODER MIT LAGEN VERSEHENE GEWEBE; WAREN DES TECHNISCHEN BEDARFS, AUS SPINNSTOFFEN: Erzeugnisse und Waren des technischen Bedarfs, aus Spinnstoffen, aufgeführt in Anmerkung 7 zu diesem Kapitel: Gewebe und Filze, endlos oder mit Verbindungsvorrichtungen, von der auf Papiermaschinen oder ähnlichen Maschinen verwendeten Art (z. B. zum Herstellen von Halbstoff oder Asbestzement): mit einem Quadratmetergewicht von weniger als 650 g: aus Seide oder Chemiefasern: Gewebe von der auf Papiermaschinen verwendeten Art (z. B. Formiersiebe)</t>
  </si>
  <si>
    <t>KAPITEL 59 - GETRÄNKTE, BESTRICHENE, ÜBERZOGENE ODER LAMINIERTE GEWEBE; WAREN DES TECHNISCHEN BEDARFS, AUS SPINNSTOFFEN: Erzeugnisse und Waren des technischen Bedarfs, aus Spinnstoffen, aufgeführt in Anmerkung 8 zu diesem Kapitel: Gewebe und Filze, endlos oder mit Verbindungsvorrichtungen, von der auf Papiermaschinen oder ähnlichen Maschinen verwendeten Art (z. B. zum Herstellen von Halbstoff oder Asbestzement): mit einem Quadratmetergewicht von weniger als 650 g: aus Seide oder Chemiefasern: andere</t>
  </si>
  <si>
    <t>KAPITEL 59 - GETRÄNKTE, BESTRICHENE, ÜBERZOGENE ODER MIT LAGEN VERSEHENE GEWEBE; WAREN DES TECHNISCHEN BEDARFS, AUS SPINNSTOFFEN: Erzeugnisse und Waren des technischen Bedarfs, aus Spinnstoffen, aufgeführt in Anmerkung 7 zu diesem Kapitel: Gewebe und Filze, endlos oder mit Verbindungsvorrichtungen, von der auf Papiermaschinen oder ähnlichen Maschinen verwendeten Art (z. B. zum Herstellen von Halbstoff oder Asbestzement): mit einem Quadratmetergewicht von weniger als 650 g: aus Seide oder Chemiefasern: andere</t>
  </si>
  <si>
    <t>KAPITEL 59 - GETRÄNKTE, BESTRICHENE, ÜBERZOGENE ODER LAMINIERTE GEWEBE; WAREN DES TECHNISCHEN BEDARFS, AUS SPINNSTOFFEN: Erzeugnisse und Waren des technischen Bedarfs, aus Spinnstoffen, aufgeführt in Anmerkung 8 zu diesem Kapitel: Gewebe und Filze, endlos oder mit Verbindungsvorrichtungen, von der auf Papiermaschinen oder ähnlichen Maschinen verwendeten Art (z. B. zum Herstellen von Halbstoff oder Asbestzement): mit einem Quadratmetergewicht von weniger als 650 g: aus anderen Spinnstoffen</t>
  </si>
  <si>
    <t>KAPITEL 59 - GETRÄNKTE, BESTRICHENE, ÜBERZOGENE ODER MIT LAGEN VERSEHENE GEWEBE; WAREN DES TECHNISCHEN BEDARFS, AUS SPINNSTOFFEN: Erzeugnisse und Waren des technischen Bedarfs, aus Spinnstoffen, aufgeführt in Anmerkung 7 zu diesem Kapitel: Gewebe und Filze, endlos oder mit Verbindungsvorrichtungen, von der auf Papiermaschinen oder ähnlichen Maschinen verwendeten Art (z. B. zum Herstellen von Halbstoff oder Asbestzement): mit einem Quadratmetergewicht von weniger als 650 g: aus anderen Spinnstoffen</t>
  </si>
  <si>
    <t>Gewebe mit einer mittels Vernadelung aufgebrachten Faserauflage, von der auf Papiermaschinen verwendeten Art (z. B. Pressfilze)</t>
  </si>
  <si>
    <t>KAPITEL 59 - GETRÄNKTE, BESTRICHENE, ÜBERZOGENE ODER LAMINIERTE GEWEBE; WAREN DES TECHNISCHEN BEDARFS, AUS SPINNSTOFFEN: Erzeugnisse und Waren des technischen Bedarfs, aus Spinnstoffen, aufgeführt in Anmerkung 8 zu diesem Kapitel: Gewebe und Filze, endlos oder mit Verbindungsvorrichtungen, von der auf Papiermaschinen oder ähnlichen Maschinen verwendeten Art (z. B. zum Herstellen von Halbstoff oder Asbestzement): mit einem Quadratmetergewicht von 650 g oder mehr: aus Seide oder Chemiefasern: Gewebe mit einer mittels Vernadelung aufgebrachten Faserauflage, von der auf Papiermaschinen verwendeten Art (z. B. Pressfilze)</t>
  </si>
  <si>
    <t>KAPITEL 59 - GETRÄNKTE, BESTRICHENE, ÜBERZOGENE ODER MIT LAGEN VERSEHENE GEWEBE; WAREN DES TECHNISCHEN BEDARFS, AUS SPINNSTOFFEN: Erzeugnisse und Waren des technischen Bedarfs, aus Spinnstoffen, aufgeführt in Anmerkung 7 zu diesem Kapitel: Gewebe und Filze, endlos oder mit Verbindungsvorrichtungen, von der auf Papiermaschinen oder ähnlichen Maschinen verwendeten Art (z. B. zum Herstellen von Halbstoff oder Asbestzement): mit einem Quadratmetergewicht von 650 g oder mehr: aus Seide oder Chemiefasern: Gewebe mit einer mittels Vernadelung aufgebrachten Faserauflage, von der auf Papiermaschinen verwendeten Art (z. B. Pressfilze)</t>
  </si>
  <si>
    <t>KAPITEL 59 - GETRÄNKTE, BESTRICHENE, ÜBERZOGENE ODER LAMINIERTE GEWEBE; WAREN DES TECHNISCHEN BEDARFS, AUS SPINNSTOFFEN: Erzeugnisse und Waren des technischen Bedarfs, aus Spinnstoffen, aufgeführt in Anmerkung 8 zu diesem Kapitel: Gewebe und Filze, endlos oder mit Verbindungsvorrichtungen, von der auf Papiermaschinen oder ähnlichen Maschinen verwendeten Art (z. B. zum Herstellen von Halbstoff oder Asbestzement): mit einem Quadratmetergewicht von 650 g oder mehr: aus Seide oder Chemiefasern: andere</t>
  </si>
  <si>
    <t>KAPITEL 59 - GETRÄNKTE, BESTRICHENE, ÜBERZOGENE ODER MIT LAGEN VERSEHENE GEWEBE; WAREN DES TECHNISCHEN BEDARFS, AUS SPINNSTOFFEN: Erzeugnisse und Waren des technischen Bedarfs, aus Spinnstoffen, aufgeführt in Anmerkung 7 zu diesem Kapitel: Gewebe und Filze, endlos oder mit Verbindungsvorrichtungen, von der auf Papiermaschinen oder ähnlichen Maschinen verwendeten Art (z. B. zum Herstellen von Halbstoff oder Asbestzement): mit einem Quadratmetergewicht von 650 g oder mehr: aus Seide oder Chemiefasern: andere</t>
  </si>
  <si>
    <t>KAPITEL 59 - GETRÄNKTE, BESTRICHENE, ÜBERZOGENE ODER LAMINIERTE GEWEBE; WAREN DES TECHNISCHEN BEDARFS, AUS SPINNSTOFFEN: Erzeugnisse und Waren des technischen Bedarfs, aus Spinnstoffen, aufgeführt in Anmerkung 8 zu diesem Kapitel: Gewebe und Filze, endlos oder mit Verbindungsvorrichtungen, von der auf Papiermaschinen oder ähnlichen Maschinen verwendeten Art (z. B. zum Herstellen von Halbstoff oder Asbestzement): mit einem Quadratmetergewicht von 650 g oder mehr: aus anderen Spinnstoffen</t>
  </si>
  <si>
    <t>KAPITEL 59 - GETRÄNKTE, BESTRICHENE, ÜBERZOGENE ODER MIT LAGEN VERSEHENE GEWEBE; WAREN DES TECHNISCHEN BEDARFS, AUS SPINNSTOFFEN: Erzeugnisse und Waren des technischen Bedarfs, aus Spinnstoffen, aufgeführt in Anmerkung 7 zu diesem Kapitel: Gewebe und Filze, endlos oder mit Verbindungsvorrichtungen, von der auf Papiermaschinen oder ähnlichen Maschinen verwendeten Art (z. B. zum Herstellen von Halbstoff oder Asbestzement): mit einem Quadratmetergewicht von 650 g oder mehr: aus anderen Spinnstoffen</t>
  </si>
  <si>
    <t>Filter- oder Presstücher, von der zum Pressen von Öl oder zu ähnlichen technischen Zwecken verwendeten Art, auch aus Menschenhaaren</t>
  </si>
  <si>
    <t>Filtertücher, von der zum Pressen von Öl oder zu ähnlichen technischen Zwecken verwendeten Art, auch aus Menschenhaaren</t>
  </si>
  <si>
    <t>KAPITEL 59 - GETRÄNKTE, BESTRICHENE, ÜBERZOGENE ODER LAMINIERTE GEWEBE; WAREN DES TECHNISCHEN BEDARFS, AUS SPINNSTOFFEN: Erzeugnisse und Waren des technischen Bedarfs, aus Spinnstoffen, aufgeführt in Anmerkung 8 zu diesem Kapitel: Filter- oder Presstücher, von der zum Pressen von Öl oder zu ähnlichen technischen Zwecken verwendeten Art, auch aus Menschenhaaren</t>
  </si>
  <si>
    <t>KAPITEL 59 - GETRÄNKTE, BESTRICHENE, ÜBERZOGENE ODER MIT LAGEN VERSEHENE GEWEBE; WAREN DES TECHNISCHEN BEDARFS, AUS SPINNSTOFFEN: Erzeugnisse und Waren des technischen Bedarfs, aus Spinnstoffen, aufgeführt in Anmerkung 7 zu diesem Kapitel: Filtertücher, von der zum Pressen von Öl oder zu ähnlichen technischen Zwecken verwendeten Art, auch aus Menschenhaaren</t>
  </si>
  <si>
    <t>aus Filz</t>
  </si>
  <si>
    <t>KAPITEL 59 - GETRÄNKTE, BESTRICHENE, ÜBERZOGENE ODER LAMINIERTE GEWEBE; WAREN DES TECHNISCHEN BEDARFS, AUS SPINNSTOFFEN: Erzeugnisse und Waren des technischen Bedarfs, aus Spinnstoffen, aufgeführt in Anmerkung 8 zu diesem Kapitel: andere: aus Filz</t>
  </si>
  <si>
    <t>KAPITEL 59 - GETRÄNKTE, BESTRICHENE, ÜBERZOGENE ODER MIT LAGEN VERSEHENE GEWEBE; WAREN DES TECHNISCHEN BEDARFS, AUS SPINNSTOFFEN: Erzeugnisse und Waren des technischen Bedarfs, aus Spinnstoffen, aufgeführt in Anmerkung 7 zu diesem Kapitel: andere: aus Filz</t>
  </si>
  <si>
    <t>selbstklebende, runde Polierscheiben von der für die Herstellung von Halbleiterscheiben (wafers) verwendeten Art</t>
  </si>
  <si>
    <t>KAPITEL 59 - GETRÄNKTE, BESTRICHENE, ÜBERZOGENE ODER LAMINIERTE GEWEBE; WAREN DES TECHNISCHEN BEDARFS, AUS SPINNSTOFFEN: Erzeugnisse und Waren des technischen Bedarfs, aus Spinnstoffen, aufgeführt in Anmerkung 8 zu diesem Kapitel: andere: andere: selbstklebende, runde Polierscheiben von der für die Herstellung von Halbleiterscheiben (wafers) verwendeten Art</t>
  </si>
  <si>
    <t>KAPITEL 59 - GETRÄNKTE, BESTRICHENE, ÜBERZOGENE ODER MIT LAGEN VERSEHENE GEWEBE; WAREN DES TECHNISCHEN BEDARFS, AUS SPINNSTOFFEN: Erzeugnisse und Waren des technischen Bedarfs, aus Spinnstoffen, aufgeführt in Anmerkung 7 zu diesem Kapitel: andere: andere: selbstklebende, runde Polierscheiben von der für die Herstellung von Halbleiterscheiben (wafers) verwendeten Art</t>
  </si>
  <si>
    <t>KAPITEL 59 - GETRÄNKTE, BESTRICHENE, ÜBERZOGENE ODER LAMINIERTE GEWEBE; WAREN DES TECHNISCHEN BEDARFS, AUS SPINNSTOFFEN: Erzeugnisse und Waren des technischen Bedarfs, aus Spinnstoffen, aufgeführt in Anmerkung 8 zu diesem Kapitel: andere: andere: andere</t>
  </si>
  <si>
    <t>KAPITEL 59 - GETRÄNKTE, BESTRICHENE, ÜBERZOGENE ODER MIT LAGEN VERSEHENE GEWEBE; WAREN DES TECHNISCHEN BEDARFS, AUS SPINNSTOFFEN: Erzeugnisse und Waren des technischen Bedarfs, aus Spinnstoffen, aufgeführt in Anmerkung 7 zu diesem Kapitel: andere: andere: andere</t>
  </si>
  <si>
    <t>Fingerhandschuhe, mit Kautschuk getränkt, bestrichen, überzogen oder laminiert</t>
  </si>
  <si>
    <t>Fingerhandschuhe, mit Kautschuk getränkt, bestrichen oder überzogen</t>
  </si>
  <si>
    <t>KAPITEL 61 - KLEIDUNG UND BEKLEIDUNGSZUBEHÖR, AUS GEWIRKEN ODER GESTRICKEN: Fingerhandschuhe, Handschuhe ohne Fingerspitzen und Fausthandschuhe, aus Gewirken oder Gestricken: mit Kunststoff oder Kautschuk getränkt, bestrichen, überzogen oder laminiert: Fingerhandschuhe, mit Kautschuk getränkt, bestrichen, überzogen oder laminiert</t>
  </si>
  <si>
    <t>KAPITEL 61 - KLEIDUNG UND BEKLEIDUNGSZUBEHÖR, AUS GEWIRKEN ODER GESTRICKEN: Fingerhandschuhe, Handschuhe ohne Fingerspitzen und Fausthandschuhe, aus Gewirken oder Gestricken: mit Kunststoff oder Kautschuk getränkt, bestrichen oder überzogen: Fingerhandschuhe, mit Kautschuk getränkt, bestrichen oder überzogen</t>
  </si>
  <si>
    <t>KAPITEL 61 - KLEIDUNG UND BEKLEIDUNGSZUBEHÖR, AUS GEWIRKEN ODER GESTRICKEN: Fingerhandschuhe, Handschuhe ohne Fingerspitzen und Fausthandschuhe, aus Gewirken oder Gestricken: mit Kunststoff oder Kautschuk getränkt, bestrichen, überzogen oder laminiert: andere</t>
  </si>
  <si>
    <t>KAPITEL 61 - KLEIDUNG UND BEKLEIDUNGSZUBEHÖR, AUS GEWIRKEN ODER GESTRICKEN: Fingerhandschuhe, Handschuhe ohne Fingerspitzen und Fausthandschuhe, aus Gewirken oder Gestricken: mit Kunststoff oder Kautschuk getränkt, bestrichen oder überzogen: andere</t>
  </si>
  <si>
    <t>andere Kleidung, von der in der Position 6201 beschriebenen Art</t>
  </si>
  <si>
    <t>andere Kleidung, von der Art der in den Unterpositionen 620111 bis 620119 genannten Waren</t>
  </si>
  <si>
    <t>KAPITEL 62 - KLEIDUNG UND BEKLEIDUNGSZUBEHÖR, AUSGENOMMEN AUS GEWIRKEN ODER GESTRICKEN: Kleidung aus Erzeugnissen der Position 5602, 5603, 5903, 5906 oder 5907: andere Kleidung, von der in der Position 6201 beschriebenen Art</t>
  </si>
  <si>
    <t>KAPITEL 62 - KLEIDUNG UND BEKLEIDUNGSZUBEHÖR, AUSGENOMMEN AUS GEWIRKEN ODER GESTRICKEN: Kleidung aus Erzeugnissen der Position 5602, 5603, 5903, 5906 oder 5907: andere Kleidung, von der Art der in den Unterpositionen 620111 bis 620119 genannten Waren</t>
  </si>
  <si>
    <t>andere Kleidung, von der in der Position 6202 beschriebenen Art</t>
  </si>
  <si>
    <t>andere Kleidung, von der Art der in den Unterpositionen 620211 bis 620219 genannten Waren</t>
  </si>
  <si>
    <t>KAPITEL 62 - KLEIDUNG UND BEKLEIDUNGSZUBEHÖR, AUSGENOMMEN AUS GEWIRKEN ODER GESTRICKEN: Kleidung aus Erzeugnissen der Position 5602, 5603, 5903, 5906 oder 5907: andere Kleidung, von der in der Position 6202 beschriebenen Art</t>
  </si>
  <si>
    <t>KAPITEL 62 - KLEIDUNG UND BEKLEIDUNGSZUBEHÖR, AUSGENOMMEN AUS GEWIRKEN ODER GESTRICKEN: Kleidung aus Erzeugnissen der Position 5602, 5603, 5903, 5906 oder 5907: andere Kleidung, von der Art der in den Unterpositionen 620211 bis 620219 genannten Waren</t>
  </si>
  <si>
    <t>KAPITEL 63 - ANDERE KONFEKTIONIERTE SPINNSTOFFWAREN; WARENZUSAMMENSTELLUNGEN; ALTWAREN UND LUMPEN: Planen und Markisen; Zelte (einschließlich Faltpavillons und ähnliche Waren); Segel für Wasserfahrzeuge, für Surfbretter oder für Landfahrzeuge; Campingausrüstungen: Planen und Markisen: aus synthetischen Chemiefasern</t>
  </si>
  <si>
    <t>KAPITEL 63 - ANDERE KONFEKTIONIERTE SPINNSTOFFWAREN; WARENZUSAMMENSTELLUNGEN; ALTWAREN UND LUMPEN: Planen und Markisen; Zelte; Segel für Wasserfahrzeuge, für Surfbretter und für Landfahrzeuge; Campingausrüstungen: Planen und Markisen: aus synthetischen Chemiefasern</t>
  </si>
  <si>
    <t>KAPITEL 63 - ANDERE KONFEKTIONIERTE SPINNSTOFFWAREN; WARENZUSAMMENSTELLUNGEN; ALTWAREN UND LUMPEN: Planen und Markisen; Zelte (einschließlich Faltpavillons und ähnliche Waren); Segel für Wasserfahrzeuge, für Surfbretter oder für Landfahrzeuge; Campingausrüstungen: Planen und Markisen: aus anderen Spinnstoffen</t>
  </si>
  <si>
    <t>KAPITEL 63 - ANDERE KONFEKTIONIERTE SPINNSTOFFWAREN; WARENZUSAMMENSTELLUNGEN; ALTWAREN UND LUMPEN: Planen und Markisen; Zelte; Segel für Wasserfahrzeuge, für Surfbretter und für Landfahrzeuge; Campingausrüstungen: Planen und Markisen: aus anderen Spinnstoffen</t>
  </si>
  <si>
    <t>KAPITEL 63 - ANDERE KONFEKTIONIERTE SPINNSTOFFWAREN; WARENZUSAMMENSTELLUNGEN; ALTWAREN UND LUMPEN: Planen und Markisen; Zelte (einschließlich Faltpavillons und ähnliche Waren); Segel für Wasserfahrzeuge, für Surfbretter oder für Landfahrzeuge; Campingausrüstungen: Zelte (einschließlich Faltpavillons und ähnliche Waren): aus synthetischen Chemiefasern</t>
  </si>
  <si>
    <t>KAPITEL 63 - ANDERE KONFEKTIONIERTE SPINNSTOFFWAREN; WARENZUSAMMENSTELLUNGEN; ALTWAREN UND LUMPEN: Planen und Markisen; Zelte; Segel für Wasserfahrzeuge, für Surfbretter und für Landfahrzeuge; Campingausrüstungen: Zelte: aus synthetischen Chemiefasern</t>
  </si>
  <si>
    <t>KAPITEL 63 - ANDERE KONFEKTIONIERTE SPINNSTOFFWAREN; WARENZUSAMMENSTELLUNGEN; ALTWAREN UND LUMPEN: Planen und Markisen; Zelte (einschließlich Faltpavillons und ähnliche Waren); Segel für Wasserfahrzeuge, für Surfbretter oder für Landfahrzeuge; Campingausrüstungen: Zelte (einschließlich Faltpavillons und ähnliche Waren): aus anderen Spinnstoffen</t>
  </si>
  <si>
    <t>KAPITEL 63 - ANDERE KONFEKTIONIERTE SPINNSTOFFWAREN; WARENZUSAMMENSTELLUNGEN; ALTWAREN UND LUMPEN: Planen und Markisen; Zelte; Segel für Wasserfahrzeuge, für Surfbretter und für Landfahrzeuge; Campingausrüstungen: Zelte: aus anderen Spinnstoffen</t>
  </si>
  <si>
    <t>Segel</t>
  </si>
  <si>
    <t>KAPITEL 63 - ANDERE KONFEKTIONIERTE SPINNSTOFFWAREN; WARENZUSAMMENSTELLUNGEN; ALTWAREN UND LUMPEN: Planen und Markisen; Zelte (einschließlich Faltpavillons und ähnliche Waren); Segel für Wasserfahrzeuge, für Surfbretter oder für Landfahrzeuge; Campingausrüstungen: Segel</t>
  </si>
  <si>
    <t>KAPITEL 63 - ANDERE KONFEKTIONIERTE SPINNSTOFFWAREN; WARENZUSAMMENSTELLUNGEN; ALTWAREN UND LUMPEN: Planen und Markisen; Zelte; Segel für Wasserfahrzeuge, für Surfbretter und für Landfahrzeuge; Campingausrüstungen: Segel</t>
  </si>
  <si>
    <t>Luftmatratzen</t>
  </si>
  <si>
    <t>KAPITEL 63 - ANDERE KONFEKTIONIERTE SPINNSTOFFWAREN; WARENZUSAMMENSTELLUNGEN; ALTWAREN UND LUMPEN: Planen und Markisen; Zelte (einschließlich Faltpavillons und ähnliche Waren); Segel für Wasserfahrzeuge, für Surfbretter oder für Landfahrzeuge; Campingausrüstungen: Luftmatratzen</t>
  </si>
  <si>
    <t>KAPITEL 63 - ANDERE KONFEKTIONIERTE SPINNSTOFFWAREN; WARENZUSAMMENSTELLUNGEN; ALTWAREN UND LUMPEN: Planen und Markisen; Zelte; Segel für Wasserfahrzeuge, für Surfbretter und für Landfahrzeuge; Campingausrüstungen: Luftmatratzen</t>
  </si>
  <si>
    <t>KAPITEL 63 - ANDERE KONFEKTIONIERTE SPINNSTOFFWAREN; WARENZUSAMMENSTELLUNGEN; ALTWAREN UND LUMPEN: Planen und Markisen; Zelte (einschließlich Faltpavillons und ähnliche Waren); Segel für Wasserfahrzeuge, für Surfbretter oder für Landfahrzeuge; Campingausrüstungen: andere</t>
  </si>
  <si>
    <t>KAPITEL 63 - ANDERE KONFEKTIONIERTE SPINNSTOFFWAREN; WARENZUSAMMENSTELLUNGEN; ALTWAREN UND LUMPEN: Planen und Markisen; Zelte; Segel für Wasserfahrzeuge, für Surfbretter und für Landfahrzeuge; Campingausrüstungen: andere</t>
  </si>
  <si>
    <t>filtrierende Halbmasken (FFP) gemäß EN 149; andere Masken, die einer ähnlichen Norm für Masken als Atemschutzgeräte zum Schutz gegen Partikel entsprechen</t>
  </si>
  <si>
    <t>KAPITEL 63 - ANDERE KONFEKTIONIERTE SPINNSTOFFWAREN; WARENZUSAMMENSTELLUNGEN; ALTWAREN UND LUMPEN: Andere konfektionierte Waren, einschließlich Schnittmuster zum Herstellen von Kleidung: andere: andere: andere: Gesichtsschutzmasken: filtrierende Halbmasken (FFP) gemäß EN 149; andere Masken, die einer ähnlichen Norm für Masken als Atemschutzgeräte zum Schutz gegen Partikel entsprechen</t>
  </si>
  <si>
    <t>KAPITEL 63 - ANDERE KONFEKTIONIERTE SPINNSTOFFWAREN; WARENZUSAMMENSTELLUNGEN; ALTWAREN UND LUMPEN: Andere konfektionierte Waren, einschließlich Schnittmuster zum Herstellen von Kleidung: andere: andere: andere: Gesichtsschutzmasken: Filtering facepieces (FFP) according to EN149, and other masks filtering at least 80% of O,3 micron particles</t>
  </si>
  <si>
    <t>Magnesit, Magnesia in Form von Periklas, Dolomit, auch in Form von Dolomitkalk, oder Chromit enthaltend</t>
  </si>
  <si>
    <t>Magnesit, Dolomit oder Chromit enthaltend</t>
  </si>
  <si>
    <t>KAPITEL 68 - WAREN AUS STEINEN, GIPS, ZEMENT, ASBEST, GLIMMER ODER ÄHNLICHEN STOFFEN: Waren aus Steinen oder anderen mineralischen Stoffen (einschließlich Kohlenstofffasern, Waren aus Kohlenstofffasern und Waren aus Torf), anderweit weder genannt noch inbegriffen: andere: Magnesit, Magnesia in Form von Periklas, Dolomit, auch in Form von Dolomitkalk, oder Chromit enthaltend</t>
  </si>
  <si>
    <t>KAPITEL 68 - WAREN AUS STEINEN, GIPS, ZEMENT, ASBEST, GLIMMER ODER ÄHNLICHEN STOFFEN: Waren aus Steinen oder anderen mineralischen Stoffen (einschließlich Kohlenstofffasern, Waren aus Kohlenstofffasern und Waren aus Torf), anderweit weder genannt noch inbegriffen: andere: Magnesit, Dolomit oder Chromit enthaltend</t>
  </si>
  <si>
    <t>mit einem Gehalt an freiem Kohlenstoff von mehr als 50 GHT</t>
  </si>
  <si>
    <t>mit einem Gehalt an Grafit oder anderem Kohlenstoff, auch untereinander gemischt, von mehr als 50 GHT</t>
  </si>
  <si>
    <t>KAPITEL 69 - KERAMISCHE WAREN: Andere feuerfeste keramische Waren (z. B. Retorten, Schmelztiegel, Muffeln, Ausgüsse, Stopfen, Stützen, Kapellen, Rohre, Schutzrohre, Stäbe und Schieber), ausgenommen Waren aus kieselsäurehaltigen fossilen Mehlen oder aus ähnlichen kieselsäurehaltigen Erden: mit einem Gehalt an freiem Kohlenstoff von mehr als 50 GHT</t>
  </si>
  <si>
    <t>KAPITEL 69 - KERAMISCHE WAREN: Andere feuerfeste keramische Waren (z. B. Retorten, Schmelztiegel, Muffeln, Ausgüsse, Stopfen, Stützen, Kapellen, Rohre, Schutzrohre, Stäbe), ausgenommen Waren aus kieselsäurehaltigen fossilen Mehlen oder aus ähnlichen kieselsäurehaltigen Erden: mit einem Gehalt an Grafit oder anderem Kohlenstoff, auch untereinander gemischt, von mehr als 50 GHT</t>
  </si>
  <si>
    <t>mit einem Gehalt an Tonerde (Al2O3) von weniger als 45 GHT</t>
  </si>
  <si>
    <t>KAPITEL 69 - KERAMISCHE WAREN: Andere feuerfeste keramische Waren (z. B. Retorten, Schmelztiegel, Muffeln, Ausgüsse, Stopfen, Stützen, Kapellen, Rohre, Schutzrohre, Stäbe und Schieber), ausgenommen Waren aus kieselsäurehaltigen fossilen Mehlen oder aus ähnlichen kieselsäurehaltigen Erden: mit einem Gehalt an Tonerde (Al2O3) oder einer Mischung oder Verbindung von Tonerde und Kieselsäure (SiO2) von mehr als 50 GHT: mit einem Gehalt an Tonerde (Al2O3) von weniger als 45 GHT</t>
  </si>
  <si>
    <t>KAPITEL 69 - KERAMISCHE WAREN: Andere feuerfeste keramische Waren (z. B. Retorten, Schmelztiegel, Muffeln, Ausgüsse, Stopfen, Stützen, Kapellen, Rohre, Schutzrohre, Stäbe), ausgenommen Waren aus kieselsäurehaltigen fossilen Mehlen oder aus ähnlichen kieselsäurehaltigen Erden: mit einem Gehalt an Tonerde (Al2O3) oder einer Mischung oder Verbindung von Tonerde und Kieselsäure (SiO2) von mehr als 50 GHT: mit einem Gehalt an Tonerde (Al2O3) von weniger als 45 GHT</t>
  </si>
  <si>
    <t>mit einem Gehalt an Tonerde (Al2O3) von 45 GHT oder mehr</t>
  </si>
  <si>
    <t>KAPITEL 69 - KERAMISCHE WAREN: Andere feuerfeste keramische Waren (z. B. Retorten, Schmelztiegel, Muffeln, Ausgüsse, Stopfen, Stützen, Kapellen, Rohre, Schutzrohre, Stäbe und Schieber), ausgenommen Waren aus kieselsäurehaltigen fossilen Mehlen oder aus ähnlichen kieselsäurehaltigen Erden: mit einem Gehalt an Tonerde (Al2O3) oder einer Mischung oder Verbindung von Tonerde und Kieselsäure (SiO2) von mehr als 50 GHT: mit einem Gehalt an Tonerde (Al2O3) von 45 GHT oder mehr</t>
  </si>
  <si>
    <t>KAPITEL 69 - KERAMISCHE WAREN: Andere feuerfeste keramische Waren (z. B. Retorten, Schmelztiegel, Muffeln, Ausgüsse, Stopfen, Stützen, Kapellen, Rohre, Schutzrohre, Stäbe), ausgenommen Waren aus kieselsäurehaltigen fossilen Mehlen oder aus ähnlichen kieselsäurehaltigen Erden: mit einem Gehalt an Tonerde (Al2O3) oder einer Mischung oder Verbindung von Tonerde und Kieselsäure (SiO2) von mehr als 50 GHT: mit einem Gehalt an Tonerde (Al2O3) von 45 GHT oder mehr</t>
  </si>
  <si>
    <t>mit einem Gehalt an Grafit oder anderem Kohlenstoff, auch untereinander gemischt, von mehr als 25 bis 50 GHT</t>
  </si>
  <si>
    <t>KAPITEL 69 - KERAMISCHE WAREN: Andere feuerfeste keramische Waren (z. B. Retorten, Schmelztiegel, Muffeln, Ausgüsse, Stopfen, Stützen, Kapellen, Rohre, Schutzrohre, Stäbe und Schieber), ausgenommen Waren aus kieselsäurehaltigen fossilen Mehlen oder aus ähnlichen kieselsäurehaltigen Erden: andere: mit einem Gehalt an Grafit oder anderem Kohlenstoff, auch untereinander gemischt, von mehr als 25 bis 50 GHT</t>
  </si>
  <si>
    <t>KAPITEL 69 - KERAMISCHE WAREN: Andere feuerfeste keramische Waren (z. B. Retorten, Schmelztiegel, Muffeln, Ausgüsse, Stopfen, Stützen, Kapellen, Rohre, Schutzrohre, Stäbe), ausgenommen Waren aus kieselsäurehaltigen fossilen Mehlen oder aus ähnlichen kieselsäurehaltigen Erden: andere: mit einem Gehalt an Grafit oder anderem Kohlenstoff, auch untereinander gemischt, von mehr als 25 bis 50 GHT</t>
  </si>
  <si>
    <t>KAPITEL 69 - KERAMISCHE WAREN: Andere feuerfeste keramische Waren (z. B. Retorten, Schmelztiegel, Muffeln, Ausgüsse, Stopfen, Stützen, Kapellen, Rohre, Schutzrohre, Stäbe und Schieber), ausgenommen Waren aus kieselsäurehaltigen fossilen Mehlen oder aus ähnlichen kieselsäurehaltigen Erden: andere: andere</t>
  </si>
  <si>
    <t>KAPITEL 69 - KERAMISCHE WAREN: Andere feuerfeste keramische Waren (z. B. Retorten, Schmelztiegel, Muffeln, Ausgüsse, Stopfen, Stützen, Kapellen, Rohre, Schutzrohre, Stäbe), ausgenommen Waren aus kieselsäurehaltigen fossilen Mehlen oder aus ähnlichen kieselsäurehaltigen Erden: andere: andere</t>
  </si>
  <si>
    <t>Bruchglas und andere Abfälle und Scherben von Glas</t>
  </si>
  <si>
    <t>KAPITEL 70 - GLAS UND GLASWAREN: Bruchglas und andere Abfälle und Scherben von Glas, ausgenommen Glas von Kathodenstrahlröhren oder sonstiges beschichtetes Glas der Position 8549; Glasmasse: Bruchglas und andere Abfälle und Scherben von Glas</t>
  </si>
  <si>
    <t>KAPITEL 70 - GLAS UND GLASWAREN: Bruchglas und andere Abfälle und Scherben von Glas; Glasmasse: Bruchglas und andere Abfälle und Scherben von Glas</t>
  </si>
  <si>
    <t>optisches Glas</t>
  </si>
  <si>
    <t>KAPITEL 70 - GLAS UND GLASWAREN: Bruchglas und andere Abfälle und Scherben von Glas, ausgenommen Glas von Kathodenstrahlröhren oder sonstiges beschichtetes Glas der Position 8549; Glasmasse: Glasmasse: optisches Glas</t>
  </si>
  <si>
    <t>KAPITEL 70 - GLAS UND GLASWAREN: Bruchglas und andere Abfälle und Scherben von Glas; Glasmasse: Glasmasse: optisches Glas</t>
  </si>
  <si>
    <t>KAPITEL 70 - GLAS UND GLASWAREN: Bruchglas und andere Abfälle und Scherben von Glas, ausgenommen Glas von Kathodenstrahlröhren oder sonstiges beschichtetes Glas der Position 8549; Glasmasse: Glasmasse: anderes</t>
  </si>
  <si>
    <t>KAPITEL 70 - GLAS UND GLASWAREN: Bruchglas und andere Abfälle und Scherben von Glas; Glasmasse: Glasmasse: anderes</t>
  </si>
  <si>
    <t>für elektrische Beleuchtung</t>
  </si>
  <si>
    <t>KAPITEL 70 - GLAS UND GLASWAREN: Offene Glaskolben und Glasrohre, Glasteile davon, ohne Ausrüstung, für elektrische Lampen  und Lichtquellen, Kathodenstrahlröhren oder dergleichen: für elektrische Beleuchtung</t>
  </si>
  <si>
    <t>KAPITEL 70 - GLAS UND GLASWAREN: Offene Glaskolben und Glasrohre, Glasteile davon, ohne Ausrüstung, für elektrische Lampen, Kathodenstrahlröhren oder dergleichen: für elektrische Beleuchtung</t>
  </si>
  <si>
    <t>für Kathodenstrahlröhren</t>
  </si>
  <si>
    <t>KAPITEL 70 - GLAS UND GLASWAREN: Offene Glaskolben und Glasrohre, Glasteile davon, ohne Ausrüstung, für elektrische Lampen  und Lichtquellen, Kathodenstrahlröhren oder dergleichen: für Kathodenstrahlröhren</t>
  </si>
  <si>
    <t>KAPITEL 70 - GLAS UND GLASWAREN: Offene Glaskolben und Glasrohre, Glasteile davon, ohne Ausrüstung, für elektrische Lampen, Kathodenstrahlröhren oder dergleichen: für Kathodenstrahlröhren</t>
  </si>
  <si>
    <t>KAPITEL 70 - GLAS UND GLASWAREN: Offene Glaskolben und Glasrohre, Glasteile davon, ohne Ausrüstung, für elektrische Lampen  und Lichtquellen, Kathodenstrahlröhren oder dergleichen: andere</t>
  </si>
  <si>
    <t>KAPITEL 70 - GLAS UND GLASWAREN: Offene Glaskolben und Glasrohre, Glasteile davon, ohne Ausrüstung, für elektrische Lampen, Kathodenstrahlröhren oder dergleichen: andere</t>
  </si>
  <si>
    <t>Stapelfasern mit einer Länge von 50 mm oder weniger (chopped strands)</t>
  </si>
  <si>
    <t>geschnittenes Textilglas mit einer Länge von 50 mm oder weniger (chopped strands)</t>
  </si>
  <si>
    <t>KAPITEL 70 - GLAS UND GLASWAREN: Glasfasern (einschließlich Glaswolle) und Waren daraus (z. B. Garne, Glasseidenstränge (Rovings), Gewebe): Vorgarne (Lunten), Glasseidenstränge (Rovings), Garne und Stapelfasern und Matten daraus: Stapelfasern mit einer Länge von 50 mm oder weniger (chopped strands)</t>
  </si>
  <si>
    <t>KAPITEL 70 - GLAS UND GLASWAREN: Glasfasern (einschließlich Glaswolle) und Waren daraus (z. B. Garne, Gewebe): Vorgarne (Lunten), Glasseidenstränge (Rovings), Garne und geschnittenes Textilglas: geschnittenes Textilglas mit einer Länge von 50 mm oder weniger (chopped strands)</t>
  </si>
  <si>
    <t>Glasseidenstränge (Rovings)</t>
  </si>
  <si>
    <t>KAPITEL 70 - GLAS UND GLASWAREN: Glasfasern (einschließlich Glaswolle) und Waren daraus (z. B. Garne, Glasseidenstränge (Rovings), Gewebe): Vorgarne (Lunten), Glasseidenstränge (Rovings), Garne und Stapelfasern und Matten daraus: Glasseidenstränge (Rovings)</t>
  </si>
  <si>
    <t>KAPITEL 70 - GLAS UND GLASWAREN: Glasfasern (einschließlich Glaswolle) und Waren daraus (z. B. Garne, Gewebe): Vorgarne (Lunten), Glasseidenstränge (Rovings), Garne und geschnittenes Textilglas: Glasseidenstränge (Rovings)</t>
  </si>
  <si>
    <t>KAPITEL 70 - GLAS UND GLASWAREN: Glasfasern (einschließlich Glaswolle) und Waren daraus (z. B. Garne, Glasseidenstränge (Rovings), Gewebe): andere</t>
  </si>
  <si>
    <t>KAPITEL 70 - GLAS UND GLASWAREN: Glasfasern (einschließlich Glaswolle) und Waren daraus (z. B. Garne, Gewebe): andere</t>
  </si>
  <si>
    <t>Aschen, Edelmetalle oder Edelmetallverbindungen enthaltend</t>
  </si>
  <si>
    <t>KAPITEL 71 - ECHTE PERLEN ODER ZUCHTPERLEN, EDELSTEINE ODER SCHMUCKSTEINE, EDELMETALLE, EDELMETALLPLATTIERUNGEN UND WAREN DARAUS; FANTASIESCHMUCK; MÜNZEN: Abfälle und Schrott von Edelmetallen oder Edelmetallplattierungen; andere Abfälle und Schrott, Edelmetalle oder Edelmetallverbindungen enthaltend, von der hauptsächlich zur Wiedergewinnung von Edelmetallen verwendeten Art, ausgenommen Waren der Position 8549: Aschen, Edelmetalle oder Edelmetallverbindungen enthaltend</t>
  </si>
  <si>
    <t>KAPITEL 71 - ECHTE PERLEN ODER ZUCHTPERLEN, EDELSTEINE ODER SCHMUCKSTEINE, EDELMETALLE, EDELMETALLPLATTIERUNGEN UND WAREN DARAUS; FANTASIESCHMUCK; MÜNZEN: Abfälle und Schrott von Edelmetallen oder Edelmetallplattierungen; andere Abfälle und Schrott, Edelmetalle oder Edelmetallverbindungen enthaltend, von der hauptsächlich zur Wiedergewinnung von Edelmetallen verwendeten Art: Aschen, Edelmetalle oder Edelmetallverbindungen enthaltend</t>
  </si>
  <si>
    <t>von Gold, einschließlich Goldplattierungen, ausgenommen andere Edelmetalle enthaltende Rückstände (Gekrätz)</t>
  </si>
  <si>
    <t>KAPITEL 71 - ECHTE PERLEN ODER ZUCHTPERLEN, EDELSTEINE ODER SCHMUCKSTEINE, EDELMETALLE, EDELMETALLPLATTIERUNGEN UND WAREN DARAUS; FANTASIESCHMUCK; MÜNZEN: Abfälle und Schrott von Edelmetallen oder Edelmetallplattierungen; andere Abfälle und Schrott, Edelmetalle oder Edelmetallverbindungen enthaltend, von der hauptsächlich zur Wiedergewinnung von Edelmetallen verwendeten Art, ausgenommen Waren der Position 8549: andere: von Gold, einschließlich Goldplattierungen, ausgenommen andere Edelmetalle enthaltende Rückstände (Gekrätz)</t>
  </si>
  <si>
    <t>KAPITEL 71 - ECHTE PERLEN ODER ZUCHTPERLEN, EDELSTEINE ODER SCHMUCKSTEINE, EDELMETALLE, EDELMETALLPLATTIERUNGEN UND WAREN DARAUS; FANTASIESCHMUCK; MÜNZEN: Abfälle und Schrott von Edelmetallen oder Edelmetallplattierungen; andere Abfälle und Schrott, Edelmetalle oder Edelmetallverbindungen enthaltend, von der hauptsächlich zur Wiedergewinnung von Edelmetallen verwendeten Art: andere: von Gold, einschließlich Goldplattierungen, ausgenommen andere Edelmetalle enthaltende Rückstände (Gekrätz)</t>
  </si>
  <si>
    <t>von Platin, einschließlich Platinplattierungen, ausgenommen andere Edelmetalle enthaltende Rückstände (Gekrätz)</t>
  </si>
  <si>
    <t>KAPITEL 71 - ECHTE PERLEN ODER ZUCHTPERLEN, EDELSTEINE ODER SCHMUCKSTEINE, EDELMETALLE, EDELMETALLPLATTIERUNGEN UND WAREN DARAUS; FANTASIESCHMUCK; MÜNZEN: Abfälle und Schrott von Edelmetallen oder Edelmetallplattierungen; andere Abfälle und Schrott, Edelmetalle oder Edelmetallverbindungen enthaltend, von der hauptsächlich zur Wiedergewinnung von Edelmetallen verwendeten Art, ausgenommen Waren der Position 8549: andere: von Platin, einschließlich Platinplattierungen, ausgenommen andere Edelmetalle enthaltende Rückstände (Gekrätz)</t>
  </si>
  <si>
    <t>KAPITEL 71 - ECHTE PERLEN ODER ZUCHTPERLEN, EDELSTEINE ODER SCHMUCKSTEINE, EDELMETALLE, EDELMETALLPLATTIERUNGEN UND WAREN DARAUS; FANTASIESCHMUCK; MÜNZEN: Abfälle und Schrott von Edelmetallen oder Edelmetallplattierungen; andere Abfälle und Schrott, Edelmetalle oder Edelmetallverbindungen enthaltend, von der hauptsächlich zur Wiedergewinnung von Edelmetallen verwendeten Art: andere: von Platin, einschließlich Platinplattierungen, ausgenommen andere Edelmetalle enthaltende Rückstände (Gekrätz)</t>
  </si>
  <si>
    <t>KAPITEL 71 - ECHTE PERLEN ODER ZUCHTPERLEN, EDELSTEINE ODER SCHMUCKSTEINE, EDELMETALLE, EDELMETALLPLATTIERUNGEN UND WAREN DARAUS; FANTASIESCHMUCK; MÜNZEN: Abfälle und Schrott von Edelmetallen oder Edelmetallplattierungen; andere Abfälle und Schrott, Edelmetalle oder Edelmetallverbindungen enthaltend, von der hauptsächlich zur Wiedergewinnung von Edelmetallen verwendeten Art, ausgenommen Waren der Position 8549: andere: andere</t>
  </si>
  <si>
    <t>KAPITEL 71 - ECHTE PERLEN ODER ZUCHTPERLEN, EDELSTEINE ODER SCHMUCKSTEINE, EDELMETALLE, EDELMETALLPLATTIERUNGEN UND WAREN DARAUS; FANTASIESCHMUCK; MÜNZEN: Abfälle und Schrott von Edelmetallen oder Edelmetallplattierungen; andere Abfälle und Schrott, Edelmetalle oder Edelmetallverbindungen enthaltend, von der hauptsächlich zur Wiedergewinnung von Edelmetallen verwendeten Art: andere: andere</t>
  </si>
  <si>
    <t>weniger als 3 mm</t>
  </si>
  <si>
    <t>weniger als 3 mm</t>
  </si>
  <si>
    <t>KAPITEL 76 - ALUMINIUM UND WAREN DARAUS: Bleche und Bänder, aus Aluminium, mit einer Dicke von mehr als 0,2 mm: quadratisch oder rechteckig: aus nicht legiertem Aluminium: andere: andere, mit einer Dicke von: weniger als 3 mm</t>
  </si>
  <si>
    <t>KAPITEL 76 - ALUMINIUM UND WAREN DARAUS: Bleche und Bänder, aus Aluminium, mit einer Dicke von mehr als 0,2 mm: quadratisch oder rechteckig: aus nicht legiertem Aluminium: andere, mit einer Dicke von: weniger als 3 mm</t>
  </si>
  <si>
    <t>3 mm oder mehr, jedoch weniger als 6 mm</t>
  </si>
  <si>
    <t>3 mm oder mehr, jedoch weniger als 6 mm</t>
  </si>
  <si>
    <t>KAPITEL 76 - ALUMINIUM UND WAREN DARAUS: Bleche und Bänder, aus Aluminium, mit einer Dicke von mehr als 0,2 mm: quadratisch oder rechteckig: aus nicht legiertem Aluminium: andere: andere, mit einer Dicke von: 3 mm oder mehr, jedoch weniger als 6 mm</t>
  </si>
  <si>
    <t>KAPITEL 76 - ALUMINIUM UND WAREN DARAUS: Bleche und Bänder, aus Aluminium, mit einer Dicke von mehr als 0,2 mm: quadratisch oder rechteckig: aus nicht legiertem Aluminium: andere, mit einer Dicke von: 3 mm oder mehr, jedoch weniger als 6 mm</t>
  </si>
  <si>
    <t>6 mm oder mehr</t>
  </si>
  <si>
    <t>6 mm oder mehr</t>
  </si>
  <si>
    <t>KAPITEL 76 - ALUMINIUM UND WAREN DARAUS: Bleche und Bänder, aus Aluminium, mit einer Dicke von mehr als 0,2 mm: quadratisch oder rechteckig: aus nicht legiertem Aluminium: andere: andere, mit einer Dicke von: 6 mm oder mehr</t>
  </si>
  <si>
    <t>KAPITEL 76 - ALUMINIUM UND WAREN DARAUS: Bleche und Bänder, aus Aluminium, mit einer Dicke von mehr als 0,2 mm: quadratisch oder rechteckig: aus nicht legiertem Aluminium: andere, mit einer Dicke von: 6 mm oder mehr</t>
  </si>
  <si>
    <t>in Rohform; Pulver</t>
  </si>
  <si>
    <t>KAPITEL 81 - ANDERE UNEDLE METALLE; CERMETS; WAREN DARAUS: Beryllium, Chrom, Hafnium, Rhenium, Thallium, Cadmium, Germanium, Vanadium, Gallium, Indium und Niob (Columbium) und Waren daraus, einschließlich Abfälle und Schrott: Beryllium: in Rohform; Pulver</t>
  </si>
  <si>
    <t>KAPITEL 81 - ANDERE UNEDLE METALLE; CERMETS; WAREN DARAUS: Beryllium, Chrom, Germanium, Vanadium, Gallium, Hafnium, Indium, Niob (Columbium), Rhenium, Thallium, und Waren daraus, einschließlich Abfälle und Schrott: Beryllium: in Rohform; Pulver</t>
  </si>
  <si>
    <t>Abfälle und Schrott</t>
  </si>
  <si>
    <t>KAPITEL 81 - ANDERE UNEDLE METALLE; CERMETS; WAREN DARAUS: Beryllium, Chrom, Hafnium, Rhenium, Thallium, Cadmium, Germanium, Vanadium, Gallium, Indium und Niob (Columbium) und Waren daraus, einschließlich Abfälle und Schrott: Beryllium: Abfälle und Schrott</t>
  </si>
  <si>
    <t>KAPITEL 81 - ANDERE UNEDLE METALLE; CERMETS; WAREN DARAUS: Beryllium, Chrom, Germanium, Vanadium, Gallium, Hafnium, Indium, Niob (Columbium), Rhenium, Thallium, und Waren daraus, einschließlich Abfälle und Schrott: Beryllium: Abfälle und Schrott</t>
  </si>
  <si>
    <t>KAPITEL 81 - ANDERE UNEDLE METALLE; CERMETS; WAREN DARAUS: Beryllium, Chrom, Hafnium, Rhenium, Thallium, Cadmium, Germanium, Vanadium, Gallium, Indium und Niob (Columbium) und Waren daraus, einschließlich Abfälle und Schrott: Beryllium: andere</t>
  </si>
  <si>
    <t>KAPITEL 81 - ANDERE UNEDLE METALLE; CERMETS; WAREN DARAUS: Beryllium, Chrom, Germanium, Vanadium, Gallium, Hafnium, Indium, Niob (Columbium), Rhenium, Thallium, und Waren daraus, einschließlich Abfälle und Schrott: Beryllium: andere</t>
  </si>
  <si>
    <t>Chromlegierungen mit einem Nickelgehalt von mehr als 10 GHT</t>
  </si>
  <si>
    <t>KAPITEL 81 - ANDERE UNEDLE METALLE; CERMETS; WAREN DARAUS: Beryllium, Chrom, Hafnium, Rhenium, Thallium, Cadmium, Germanium, Vanadium, Gallium, Indium und Niob (Columbium) und Waren daraus, einschließlich Abfälle und Schrott: Chrom: in Rohform; Pulver: Chromlegierungen mit einem Nickelgehalt von mehr als 10 GHT</t>
  </si>
  <si>
    <t>KAPITEL 81 - ANDERE UNEDLE METALLE; CERMETS; WAREN DARAUS: Beryllium, Chrom, Germanium, Vanadium, Gallium, Hafnium, Indium, Niob (Columbium), Rhenium, Thallium, und Waren daraus, einschließlich Abfälle und Schrott: Chrom: in Rohform; Pulver: Chromlegierungen mit einem Nickelgehalt von mehr als 10 GHT</t>
  </si>
  <si>
    <t>KAPITEL 81 - ANDERE UNEDLE METALLE; CERMETS; WAREN DARAUS: Beryllium, Chrom, Hafnium, Rhenium, Thallium, Cadmium, Germanium, Vanadium, Gallium, Indium und Niob (Columbium) und Waren daraus, einschließlich Abfälle und Schrott: Chrom: in Rohform; Pulver: andere</t>
  </si>
  <si>
    <t>KAPITEL 81 - ANDERE UNEDLE METALLE; CERMETS; WAREN DARAUS: Beryllium, Chrom, Germanium, Vanadium, Gallium, Hafnium, Indium, Niob (Columbium), Rhenium, Thallium, und Waren daraus, einschließlich Abfälle und Schrott: Chrom: in Rohform; Pulver: andere</t>
  </si>
  <si>
    <t>KAPITEL 81 - ANDERE UNEDLE METALLE; CERMETS; WAREN DARAUS: Beryllium, Chrom, Hafnium, Rhenium, Thallium, Cadmium, Germanium, Vanadium, Gallium, Indium und Niob (Columbium) und Waren daraus, einschließlich Abfälle und Schrott: Chrom: Abfälle und Schrott</t>
  </si>
  <si>
    <t>KAPITEL 81 - ANDERE UNEDLE METALLE; CERMETS; WAREN DARAUS: Beryllium, Chrom, Germanium, Vanadium, Gallium, Hafnium, Indium, Niob (Columbium), Rhenium, Thallium, und Waren daraus, einschließlich Abfälle und Schrott: Chrom: Abfälle und Schrott</t>
  </si>
  <si>
    <t>KAPITEL 81 - ANDERE UNEDLE METALLE; CERMETS; WAREN DARAUS: Beryllium, Chrom, Hafnium, Rhenium, Thallium, Cadmium, Germanium, Vanadium, Gallium, Indium und Niob (Columbium) und Waren daraus, einschließlich Abfälle und Schrott: Chrom: andere</t>
  </si>
  <si>
    <t>KAPITEL 81 - ANDERE UNEDLE METALLE; CERMETS; WAREN DARAUS: Beryllium, Chrom, Germanium, Vanadium, Gallium, Hafnium, Indium, Niob (Columbium), Rhenium, Thallium, und Waren daraus, einschließlich Abfälle und Schrott: Chrom: andere</t>
  </si>
  <si>
    <t>KAPITEL 81 - ANDERE UNEDLE METALLE; CERMETS; WAREN DARAUS: Beryllium, Chrom, Hafnium, Rhenium, Thallium, Cadmium, Germanium, Vanadium, Gallium, Indium und Niob (Columbium) und Waren daraus, einschließlich Abfälle und Schrott: Thallium: in Rohform; Pulver</t>
  </si>
  <si>
    <t>KAPITEL 81 - ANDERE UNEDLE METALLE; CERMETS; WAREN DARAUS: Beryllium, Chrom, Germanium, Vanadium, Gallium, Hafnium, Indium, Niob (Columbium), Rhenium, Thallium, und Waren daraus, einschließlich Abfälle und Schrott: Thallium: in Rohform; Pulver</t>
  </si>
  <si>
    <t>KAPITEL 81 - ANDERE UNEDLE METALLE; CERMETS; WAREN DARAUS: Beryllium, Chrom, Hafnium, Rhenium, Thallium, Cadmium, Germanium, Vanadium, Gallium, Indium und Niob (Columbium) und Waren daraus, einschließlich Abfälle und Schrott: Thallium: Abfälle und Schrott</t>
  </si>
  <si>
    <t>KAPITEL 81 - ANDERE UNEDLE METALLE; CERMETS; WAREN DARAUS: Beryllium, Chrom, Germanium, Vanadium, Gallium, Hafnium, Indium, Niob (Columbium), Rhenium, Thallium, und Waren daraus, einschließlich Abfälle und Schrott: Thallium: Abfälle und Schrott</t>
  </si>
  <si>
    <t>KAPITEL 81 - ANDERE UNEDLE METALLE; CERMETS; WAREN DARAUS: Beryllium, Chrom, Hafnium, Rhenium, Thallium, Cadmium, Germanium, Vanadium, Gallium, Indium und Niob (Columbium) und Waren daraus, einschließlich Abfälle und Schrott: Thallium: andere</t>
  </si>
  <si>
    <t>KAPITEL 81 - ANDERE UNEDLE METALLE; CERMETS; WAREN DARAUS: Beryllium, Chrom, Germanium, Vanadium, Gallium, Hafnium, Indium, Niob (Columbium), Rhenium, Thallium, und Waren daraus, einschließlich Abfälle und Schrott: Thallium: andere</t>
  </si>
  <si>
    <t>KAPITEL 81 - ANDERE UNEDLE METALLE; CERMETS; WAREN DARAUS: Beryllium, Chrom, Hafnium, Rhenium, Thallium, Cadmium, Germanium, Vanadium, Gallium, Indium und Niob (Columbium) und Waren daraus, einschließlich Abfälle und Schrott: andere: in Rohform; Abfälle und Schrott; Pulver: Niob (Columbium), Gallium, Indium, Vanadium, Germanium: Abfälle und Schrott</t>
  </si>
  <si>
    <t>KAPITEL 81 - ANDERE UNEDLE METALLE; CERMETS; WAREN DARAUS: Beryllium, Chrom, Germanium, Vanadium, Gallium, Hafnium, Indium, Niob (Columbium), Rhenium, Thallium, und Waren daraus, einschließlich Abfälle und Schrott: andere: in Rohform; Abfälle und Schrott; Pulver: Niob (Columbium), Rhenium, Gallium, Indium, Vanadium, Germanium: Abfälle und Schrott</t>
  </si>
  <si>
    <t>KAPITEL 81 - ANDERE UNEDLE METALLE; CERMETS; WAREN DARAUS: Beryllium, Chrom, Hafnium, Rhenium, Thallium, Cadmium, Germanium, Vanadium, Gallium, Indium und Niob (Columbium) und Waren daraus, einschließlich Abfälle und Schrott: andere: in Rohform; Abfälle und Schrott; Pulver: Niob (Columbium), Gallium, Indium, Vanadium, Germanium: andere: Indium</t>
  </si>
  <si>
    <t>KAPITEL 81 - ANDERE UNEDLE METALLE; CERMETS; WAREN DARAUS: Beryllium, Chrom, Germanium, Vanadium, Gallium, Hafnium, Indium, Niob (Columbium), Rhenium, Thallium, und Waren daraus, einschließlich Abfälle und Schrott: andere: in Rohform; Abfälle und Schrott; Pulver: Niob (Columbium), Rhenium, Gallium, Indium, Vanadium, Germanium: andere: Indium</t>
  </si>
  <si>
    <t>KAPITEL 81 - ANDERE UNEDLE METALLE; CERMETS; WAREN DARAUS: Beryllium, Chrom, Hafnium, Rhenium, Thallium, Cadmium, Germanium, Vanadium, Gallium, Indium und Niob (Columbium) und Waren daraus, einschließlich Abfälle und Schrott: andere: in Rohform; Abfälle und Schrott; Pulver: Niob (Columbium), Gallium, Indium, Vanadium, Germanium: andere: Gallium</t>
  </si>
  <si>
    <t>KAPITEL 81 - ANDERE UNEDLE METALLE; CERMETS; WAREN DARAUS: Beryllium, Chrom, Germanium, Vanadium, Gallium, Hafnium, Indium, Niob (Columbium), Rhenium, Thallium, und Waren daraus, einschließlich Abfälle und Schrott: andere: in Rohform; Abfälle und Schrott; Pulver: Niob (Columbium), Rhenium, Gallium, Indium, Vanadium, Germanium: andere: Gallium</t>
  </si>
  <si>
    <t>KAPITEL 81 - ANDERE UNEDLE METALLE; CERMETS; WAREN DARAUS: Beryllium, Chrom, Hafnium, Rhenium, Thallium, Cadmium, Germanium, Vanadium, Gallium, Indium und Niob (Columbium) und Waren daraus, einschließlich Abfälle und Schrott: andere: in Rohform; Abfälle und Schrott; Pulver: Niob (Columbium), Gallium, Indium, Vanadium, Germanium: andere: Vanadium</t>
  </si>
  <si>
    <t>KAPITEL 81 - ANDERE UNEDLE METALLE; CERMETS; WAREN DARAUS: Beryllium, Chrom, Germanium, Vanadium, Gallium, Hafnium, Indium, Niob (Columbium), Rhenium, Thallium, und Waren daraus, einschließlich Abfälle und Schrott: andere: in Rohform; Abfälle und Schrott; Pulver: Niob (Columbium), Rhenium, Gallium, Indium, Vanadium, Germanium: andere: Vanadium</t>
  </si>
  <si>
    <t>KAPITEL 81 - ANDERE UNEDLE METALLE; CERMETS; WAREN DARAUS: Beryllium, Chrom, Hafnium, Rhenium, Thallium, Cadmium, Germanium, Vanadium, Gallium, Indium und Niob (Columbium) und Waren daraus, einschließlich Abfälle und Schrott: andere: in Rohform; Abfälle und Schrott; Pulver: Niob (Columbium), Gallium, Indium, Vanadium, Germanium: andere: Germanium</t>
  </si>
  <si>
    <t>KAPITEL 81 - ANDERE UNEDLE METALLE; CERMETS; WAREN DARAUS: Beryllium, Chrom, Germanium, Vanadium, Gallium, Hafnium, Indium, Niob (Columbium), Rhenium, Thallium, und Waren daraus, einschließlich Abfälle und Schrott: andere: in Rohform; Abfälle und Schrott; Pulver: Niob (Columbium), Rhenium, Gallium, Indium, Vanadium, Germanium: andere: Germanium</t>
  </si>
  <si>
    <t>Gallium, Indium, Vanadium</t>
  </si>
  <si>
    <t>KAPITEL 81 - ANDERE UNEDLE METALLE; CERMETS; WAREN DARAUS: Beryllium, Chrom, Hafnium, Rhenium, Thallium, Cadmium, Germanium, Vanadium, Gallium, Indium und Niob (Columbium) und Waren daraus, einschließlich Abfälle und Schrott: andere: andere: Gallium, Indium, Vanadium</t>
  </si>
  <si>
    <t>KAPITEL 81 - ANDERE UNEDLE METALLE; CERMETS; WAREN DARAUS: Beryllium, Chrom, Germanium, Vanadium, Gallium, Hafnium, Indium, Niob (Columbium), Rhenium, Thallium, und Waren daraus, einschließlich Abfälle und Schrott: andere: andere: Gallium, Indium, Vanadium</t>
  </si>
  <si>
    <t>von der für die Herstellung von Halbleitern oder ausschließlich oder hauptsächlich für die Herstellung von Flachbildschirmen verwendeten Art</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</si>
  <si>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Vakuumpumpen: von der für die Herstellung von Halbleitern oder ausschließlich oder hauptsächlich für die Herstellung von Flachbildschirmen verwendeten Art</t>
  </si>
  <si>
    <t>KAPITEL 84 - KERNREAKTOREN, KESSEL, MASCHINEN, APPARATE UND MECHANISCHE GERÄTE; TEILE DAVON: Luft- oder Vakuumpumpen, Luft- oder andere Gaskompressoren sowie Ventilatoren; Abluft- oder Umluftabzugshauben mit eingebautem Ventilator, auch mit Filter: Vakuumpumpen: von der für die Herstellung von Halbleitern oder ausschließlich oder hauptsächlich für die Herstellung von Flachbildschirmen verwendeten Art</t>
  </si>
  <si>
    <t>Drehschieberpumpen, Sperrschieberpumpen, Molekularpumpen und Wälzkolbenpumpen</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</si>
  <si>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Vakuumpumpen: andere: Drehschieberpumpen, Sperrschieberpumpen, Molekularpumpen und Wälzkolbenpumpen</t>
  </si>
  <si>
    <t>KAPITEL 84 - KERNREAKTOREN, KESSEL, MASCHINEN, APPARATE UND MECHANISCHE GERÄTE; TEILE DAVON: Luft- oder Vakuumpumpen, Luft- oder andere Gaskompressoren sowie Ventilatoren; Abluft- oder Umluftabzugshauben mit eingebautem Ventilator, auch mit Filter: Vakuumpumpen: andere: Drehschieberpumpen, Sperrschieberpumpen, Molekularpumpen und Wälzkolbenpumpen</t>
  </si>
  <si>
    <t>Diffusionspumpen, Kryopumpen und Adsorptionspumpen</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</si>
  <si>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Vakuumpumpen: andere: andere: Diffusionspumpen, Kryopumpen und Adsorptionspumpen</t>
  </si>
  <si>
    <t>KAPITEL 84 - KERNREAKTOREN, KESSEL, MASCHINEN, APPARATE UND MECHANISCHE GERÄTE; TEILE DAVON: Luft- oder Vakuumpumpen, Luft- oder andere Gaskompressoren sowie Ventilatoren; Abluft- oder Umluftabzugshauben mit eingebautem Ventilator, auch mit Filter: Vakuumpumpen: andere: andere: Diffusionspumpen, Kryopumpen und Adsorptionspumpen</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</si>
  <si>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Vakuumpumpen: andere: andere: andere</t>
  </si>
  <si>
    <t>KAPITEL 84 - KERNREAKTOREN, KESSEL, MASCHINEN, APPARATE UND MECHANISCHE GERÄTE; TEILE DAVON: Luft- oder Vakuumpumpen, Luft- oder andere Gaskompressoren sowie Ventilatoren; Abluft- oder Umluftabzugshauben mit eingebautem Ventilator, auch mit Filter: Vakuumpumpen: andere: andere: andere</t>
  </si>
  <si>
    <t>Handpumpen für Fahrräder</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</si>
  <si>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hand- oder fußbetriebene Luftpumpen: Handpumpen für Fahrräder</t>
  </si>
  <si>
    <t>KAPITEL 84 - KERNREAKTOREN, KESSEL, MASCHINEN, APPARATE UND MECHANISCHE GERÄTE; TEILE DAVON: Luft- oder Vakuumpumpen, Luft- oder andere Gaskompressoren sowie Ventilatoren; Abluft- oder Umluftabzugshauben mit eingebautem Ventilator, auch mit Filter: hand- oder fußbetriebene Luftpumpen: Handpumpen für Fahrräder</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</si>
  <si>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hand- oder fußbetriebene Luftpumpen: andere</t>
  </si>
  <si>
    <t>KAPITEL 84 - KERNREAKTOREN, KESSEL, MASCHINEN, APPARATE UND MECHANISCHE GERÄTE; TEILE DAVON: Luft- oder Vakuumpumpen, Luft- oder andere Gaskompressoren sowie Ventilatoren; Abluft- oder Umluftabzugshauben mit eingebautem Ventilator, auch mit Filter: hand- oder fußbetriebene Luftpumpen: andere</t>
  </si>
  <si>
    <t>mit einer Leistung von 0,4 kW oder weniger</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</si>
  <si>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Kompressoren von der für Kältemaschinen verwendeten Art: mit einer Leistung von 0,4 kW oder weniger</t>
  </si>
  <si>
    <t>KAPITEL 84 - KERNREAKTOREN, KESSEL, MASCHINEN, APPARATE UND MECHANISCHE GERÄTE; TEILE DAVON: Luft- oder Vakuumpumpen, Luft- oder andere Gaskompressoren sowie Ventilatoren; Abluft- oder Umluftabzugshauben mit eingebautem Ventilator, auch mit Filter: Kompressoren von der für Kältemaschinen verwendeten Art: mit einer Leistung von 0,4 kW oder weniger</t>
  </si>
  <si>
    <t>hermetische oder halbhermetische</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</si>
  <si>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Kompressoren von der für Kältemaschinen verwendeten Art: mit einer Leistung von mehr als 0,4 kW: hermetische oder halbhermetische</t>
  </si>
  <si>
    <t>KAPITEL 84 - KERNREAKTOREN, KESSEL, MASCHINEN, APPARATE UND MECHANISCHE GERÄTE; TEILE DAVON: Luft- oder Vakuumpumpen, Luft- oder andere Gaskompressoren sowie Ventilatoren; Abluft- oder Umluftabzugshauben mit eingebautem Ventilator, auch mit Filter: Kompressoren von der für Kältemaschinen verwendeten Art: mit einer Leistung von mehr als 0,4 kW: hermetische oder halbhermetische</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</si>
  <si>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Kompressoren von der für Kältemaschinen verwendeten Art: mit einer Leistung von mehr als 0,4 kW: andere</t>
  </si>
  <si>
    <t>KAPITEL 84 - KERNREAKTOREN, KESSEL, MASCHINEN, APPARATE UND MECHANISCHE GERÄTE; TEILE DAVON: Luft- oder Vakuumpumpen, Luft- oder andere Gaskompressoren sowie Ventilatoren; Abluft- oder Umluftabzugshauben mit eingebautem Ventilator, auch mit Filter: Kompressoren von der für Kältemaschinen verwendeten Art: mit einer Leistung von mehr als 0,4 kW: andere</t>
  </si>
  <si>
    <t>mit einer Liefermenge je Minute von 2 m³ oder weniger</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</si>
  <si>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Luftkompressoren, auf Anhängerfahrgestell montiert: mit einer Liefermenge je Minute von 2 m³ oder weniger</t>
  </si>
  <si>
    <t>KAPITEL 84 - KERNREAKTOREN, KESSEL, MASCHINEN, APPARATE UND MECHANISCHE GERÄTE; TEILE DAVON: Luft- oder Vakuumpumpen, Luft- oder andere Gaskompressoren sowie Ventilatoren; Abluft- oder Umluftabzugshauben mit eingebautem Ventilator, auch mit Filter: Luftkompressoren, auf Anhängerfahrgestell montiert: mit einer Liefermenge je Minute von 2 m³ oder weniger</t>
  </si>
  <si>
    <t>mit einer Liefermenge je Minute von mehr als 2 m³</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</si>
  <si>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Luftkompressoren, auf Anhängerfahrgestell montiert: mit einer Liefermenge je Minute von mehr als 2 m³</t>
  </si>
  <si>
    <t>KAPITEL 84 - KERNREAKTOREN, KESSEL, MASCHINEN, APPARATE UND MECHANISCHE GERÄTE; TEILE DAVON: Luft- oder Vakuumpumpen, Luft- oder andere Gaskompressoren sowie Ventilatoren; Abluft- oder Umluftabzugshauben mit eingebautem Ventilator, auch mit Filter: Luftkompressoren, auf Anhängerfahrgestell montiert: mit einer Liefermenge je Minute von mehr als 2 m³</t>
  </si>
  <si>
    <t>Tisch-, Boden-, Wand-, Decken-, Dach- oder Fensterventilatoren, mit eingebautem Elektromotor mit einer Leistung von 125 W oder weniger</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</si>
  <si>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Ventilatoren: Tisch-, Boden-, Wand-, Decken-, Dach- oder Fensterventilatoren, mit eingebautem Elektromotor mit einer Leistung von 125 W oder weniger</t>
  </si>
  <si>
    <t>KAPITEL 84 - KERNREAKTOREN, KESSEL, MASCHINEN, APPARATE UND MECHANISCHE GERÄTE; TEILE DAVON: Luft- oder Vakuumpumpen, Luft- oder andere Gaskompressoren sowie Ventilatoren; Abluft- oder Umluftabzugshauben mit eingebautem Ventilator, auch mit Filter: Ventilatoren: Tisch-, Boden-, Wand-, Decken-, Dach- oder Fensterventilatoren, mit eingebautem Elektromotor mit einer Leistung von 125 W oder weniger</t>
  </si>
  <si>
    <t>Ventilatoren von der ausschließlich oder hauptsächlich für die Kühlung von Mikroprozessoren, Telekommunikationsgeräten, automatischen Datenverarbeitungsmaschinen oder Einheiten automatischer Datenverarbeitungsmaschinen verwendeten Art</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</si>
  <si>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Ventilatoren: andere: Ventilatoren von der ausschließlich oder hauptsächlich für die Kühlung von Mikroprozessoren, Telekommunikationsgeräten, automatischen Datenverarbeitungsmaschinen oder Einheiten automatischer Datenverarbeitungsmaschinen verwendeten Art</t>
  </si>
  <si>
    <t>KAPITEL 84 - KERNREAKTOREN, KESSEL, MASCHINEN, APPARATE UND MECHANISCHE GERÄTE; TEILE DAVON: Luft- oder Vakuumpumpen, Luft- oder andere Gaskompressoren sowie Ventilatoren; Abluft- oder Umluftabzugshauben mit eingebautem Ventilator, auch mit Filter: Ventilatoren: andere: Ventilatoren von der ausschließlich oder hauptsächlich für die Kühlung von Mikroprozessoren, Telekommunikationsgeräten, automatischen Datenverarbeitungsmaschinen oder Einheiten automatischer Datenverarbeitungsmaschinen verwendeten Art</t>
  </si>
  <si>
    <t>Axialventilatoren</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</si>
  <si>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Ventilatoren: andere: andere: Axialventilatoren</t>
  </si>
  <si>
    <t>KAPITEL 84 - KERNREAKTOREN, KESSEL, MASCHINEN, APPARATE UND MECHANISCHE GERÄTE; TEILE DAVON: Luft- oder Vakuumpumpen, Luft- oder andere Gaskompressoren sowie Ventilatoren; Abluft- oder Umluftabzugshauben mit eingebautem Ventilator, auch mit Filter: Ventilatoren: andere: andere: Axialventilatoren</t>
  </si>
  <si>
    <t>Zentrifugalventilatoren</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</si>
  <si>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Ventilatoren: andere: andere: Zentrifugalventilatoren</t>
  </si>
  <si>
    <t>KAPITEL 84 - KERNREAKTOREN, KESSEL, MASCHINEN, APPARATE UND MECHANISCHE GERÄTE; TEILE DAVON: Luft- oder Vakuumpumpen, Luft- oder andere Gaskompressoren sowie Ventilatoren; Abluft- oder Umluftabzugshauben mit eingebautem Ventilator, auch mit Filter: Ventilatoren: andere: andere: Zentrifugalventilatoren</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</si>
  <si>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Ventilatoren: andere: andere: andere</t>
  </si>
  <si>
    <t>KAPITEL 84 - KERNREAKTOREN, KESSEL, MASCHINEN, APPARATE UND MECHANISCHE GERÄTE; TEILE DAVON: Luft- oder Vakuumpumpen, Luft- oder andere Gaskompressoren sowie Ventilatoren; Abluft- oder Umluftabzugshauben mit eingebautem Ventilator, auch mit Filter: Ventilatoren: andere: andere: andere</t>
  </si>
  <si>
    <t>Abzugshauben mit einer größten horizontalen Seitenlänge von 120 cm oder weniger</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</si>
  <si>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Abzugshauben mit einer größten horizontalen Seitenlänge von 120 cm oder weniger</t>
  </si>
  <si>
    <t>KAPITEL 84 - KERNREAKTOREN, KESSEL, MASCHINEN, APPARATE UND MECHANISCHE GERÄTE; TEILE DAVON: Luft- oder Vakuumpumpen, Luft- oder andere Gaskompressoren sowie Ventilatoren; Abluft- oder Umluftabzugshauben mit eingebautem Ventilator, auch mit Filter: Abzugshauben mit einer größten horizontalen Seitenlänge von 120 cm oder weniger</t>
  </si>
  <si>
    <t>einstufig</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</si>
  <si>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andere: Turbokompressoren: einstufig</t>
  </si>
  <si>
    <t>KAPITEL 84 - KERNREAKTOREN, KESSEL, MASCHINEN, APPARATE UND MECHANISCHE GERÄTE; TEILE DAVON: Luft- oder Vakuumpumpen, Luft- oder andere Gaskompressoren sowie Ventilatoren; Abluft- oder Umluftabzugshauben mit eingebautem Ventilator, auch mit Filter: andere: Turbokompressoren: einstufig</t>
  </si>
  <si>
    <t>mehrstufig</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</si>
  <si>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andere: Turbokompressoren: mehrstufig</t>
  </si>
  <si>
    <t>KAPITEL 84 - KERNREAKTOREN, KESSEL, MASCHINEN, APPARATE UND MECHANISCHE GERÄTE; TEILE DAVON: Luft- oder Vakuumpumpen, Luft- oder andere Gaskompressoren sowie Ventilatoren; Abluft- oder Umluftabzugshauben mit eingebautem Ventilator, auch mit Filter: andere: Turbokompressoren: mehrstufig</t>
  </si>
  <si>
    <t>60 m³ oder weniger</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</si>
  <si>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andere: oszillierende Verdrängerkompressoren zum Erzeugen eines Überdrucks von: 15 bar oder weniger, mit einer Liefermenge je Stunde von: 60 m³ oder weniger</t>
  </si>
  <si>
    <t>KAPITEL 84 - KERNREAKTOREN, KESSEL, MASCHINEN, APPARATE UND MECHANISCHE GERÄTE; TEILE DAVON: Luft- oder Vakuumpumpen, Luft- oder andere Gaskompressoren sowie Ventilatoren; Abluft- oder Umluftabzugshauben mit eingebautem Ventilator, auch mit Filter: andere: oszillierende Verdrängerkompressoren zum Erzeugen eines Überdrucks von: 15 bar oder weniger, mit einer Liefermenge je Stunde von: 60 m³ oder weniger</t>
  </si>
  <si>
    <t>mehr als 60 m³</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</si>
  <si>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andere: oszillierende Verdrängerkompressoren zum Erzeugen eines Überdrucks von: 15 bar oder weniger, mit einer Liefermenge je Stunde von: mehr als 60 m³</t>
  </si>
  <si>
    <t>KAPITEL 84 - KERNREAKTOREN, KESSEL, MASCHINEN, APPARATE UND MECHANISCHE GERÄTE; TEILE DAVON: Luft- oder Vakuumpumpen, Luft- oder andere Gaskompressoren sowie Ventilatoren; Abluft- oder Umluftabzugshauben mit eingebautem Ventilator, auch mit Filter: andere: oszillierende Verdrängerkompressoren zum Erzeugen eines Überdrucks von: 15 bar oder weniger, mit einer Liefermenge je Stunde von: mehr als 60 m³</t>
  </si>
  <si>
    <t>120 m³ oder weniger</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</si>
  <si>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andere: oszillierende Verdrängerkompressoren zum Erzeugen eines Überdrucks von: mehr als 15 bar, mit einer Liefermenge je Stunde von: 120 m³ oder weniger</t>
  </si>
  <si>
    <t>KAPITEL 84 - KERNREAKTOREN, KESSEL, MASCHINEN, APPARATE UND MECHANISCHE GERÄTE; TEILE DAVON: Luft- oder Vakuumpumpen, Luft- oder andere Gaskompressoren sowie Ventilatoren; Abluft- oder Umluftabzugshauben mit eingebautem Ventilator, auch mit Filter: andere: oszillierende Verdrängerkompressoren zum Erzeugen eines Überdrucks von: mehr als 15 bar, mit einer Liefermenge je Stunde von: 120 m³ oder weniger</t>
  </si>
  <si>
    <t>mehr als 120 m³</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</si>
  <si>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andere: oszillierende Verdrängerkompressoren zum Erzeugen eines Überdrucks von: mehr als 15 bar, mit einer Liefermenge je Stunde von: mehr als 120 m³</t>
  </si>
  <si>
    <t>KAPITEL 84 - KERNREAKTOREN, KESSEL, MASCHINEN, APPARATE UND MECHANISCHE GERÄTE; TEILE DAVON: Luft- oder Vakuumpumpen, Luft- oder andere Gaskompressoren sowie Ventilatoren; Abluft- oder Umluftabzugshauben mit eingebautem Ventilator, auch mit Filter: andere: oszillierende Verdrängerkompressoren zum Erzeugen eines Überdrucks von: mehr als 15 bar, mit einer Liefermenge je Stunde von: mehr als 120 m³</t>
  </si>
  <si>
    <t>einwellig</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</si>
  <si>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andere: rotierende Verdrängerkompressoren: einwellig</t>
  </si>
  <si>
    <t>KAPITEL 84 - KERNREAKTOREN, KESSEL, MASCHINEN, APPARATE UND MECHANISCHE GERÄTE; TEILE DAVON: Luft- oder Vakuumpumpen, Luft- oder andere Gaskompressoren sowie Ventilatoren; Abluft- oder Umluftabzugshauben mit eingebautem Ventilator, auch mit Filter: andere: rotierende Verdrängerkompressoren: einwellig</t>
  </si>
  <si>
    <t>Schraubenkompressoren</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</si>
  <si>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andere: rotierende Verdrängerkompressoren: mehrwellig: Schraubenkompressoren</t>
  </si>
  <si>
    <t>KAPITEL 84 - KERNREAKTOREN, KESSEL, MASCHINEN, APPARATE UND MECHANISCHE GERÄTE; TEILE DAVON: Luft- oder Vakuumpumpen, Luft- oder andere Gaskompressoren sowie Ventilatoren; Abluft- oder Umluftabzugshauben mit eingebautem Ventilator, auch mit Filter: andere: rotierende Verdrängerkompressoren: mehrwellig: Schraubenkompressoren</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</si>
  <si>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andere: rotierende Verdrängerkompressoren: mehrwellig: andere</t>
  </si>
  <si>
    <t>KAPITEL 84 - KERNREAKTOREN, KESSEL, MASCHINEN, APPARATE UND MECHANISCHE GERÄTE; TEILE DAVON: Luft- oder Vakuumpumpen, Luft- oder andere Gaskompressoren sowie Ventilatoren; Abluft- oder Umluftabzugshauben mit eingebautem Ventilator, auch mit Filter: andere: rotierende Verdrängerkompressoren: mehrwellig: andere</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</si>
  <si>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andere: andere</t>
  </si>
  <si>
    <t>KAPITEL 84 - KERNREAKTOREN, KESSEL, MASCHINEN, APPARATE UND MECHANISCHE GERÄTE; TEILE DAVON: Luft- oder Vakuumpumpen, Luft- oder andere Gaskompressoren sowie Ventilatoren; Abluft- oder Umluftabzugshauben mit eingebautem Ventilator, auch mit Filter: andere: andere</t>
  </si>
  <si>
    <t>Teile</t>
  </si>
  <si>
    <t>KAPITEL 84 - KERNREAKTOREN, KESSEL, MASCHINEN, APPARATE UND MECHANISCHE GERÄTE; TEILE DAVON: Luft- oder Vakuumpumpen, Luft- oder andere Gaskompressoren sowie Ventilatoren; Abluft- oder Umluftabzugshauben mit eingebautem Ventilator, auch mit Filter; gasdichte biologische Sicherheitswerkbänke, auch mit Filter: Teile</t>
  </si>
  <si>
    <t>KAPITEL 84 - KERNREAKTOREN, KESSEL, MASCHINEN, APPARATE UND MECHANISCHE GERÄTE; TEILE DAVON: Luft- oder Vakuumpumpen, Luft- oder andere Gaskompressoren sowie Ventilatoren; Abluft- oder Umluftabzugshauben mit eingebautem Ventilator, auch mit Filter: Teile</t>
  </si>
  <si>
    <t>mit einem Inhalt von mehr als 340 l</t>
  </si>
  <si>
    <t>KAPITEL 84 - KERNREAKTOREN, KESSEL, MASCHINEN, APPARATE UND MECHANISCHE GERÄTE; TEILE DAVON: Kühl- und Gefrierschränke, Gefrier- und Tiefkühltruhen und andere Einrichtungen, Maschinen, Apparate und Geräte zur Kälteerzeugung, mit elektrischer oder anderer Ausrüstung; Wärmepumpen, ausgenommen Klimageräte der Position 8415: kombinierte Kühl- und Gefrierschränke mit gesonderten Außentüren oder Schubladen oder Kombinationen davon: mit einem Inhalt von mehr als 340 l</t>
  </si>
  <si>
    <t>KAPITEL 84 - KERNREAKTOREN, KESSEL, MASCHINEN, APPARATE UND MECHANISCHE GERÄTE; TEILE DAVON: Kühl- und Gefrierschränke, Gefrier- und Tiefkühltruhen und andere Einrichtungen, Maschinen, Apparate und Geräte zur Kälteerzeugung, mit elektrischer oder anderer Ausrüstung; Wärmepumpen, ausgenommen Klimageräte der Position 8415: kombinierte Kühl- und Gefrierschränke mit gesonderten Außentüren: mit einem Inhalt von mehr als 340 l</t>
  </si>
  <si>
    <t>KAPITEL 84 - KERNREAKTOREN, KESSEL, MASCHINEN, APPARATE UND MECHANISCHE GERÄTE; TEILE DAVON: Kühl- und Gefrierschränke, Gefrier- und Tiefkühltruhen und andere Einrichtungen, Maschinen, Apparate und Geräte zur Kälteerzeugung, mit elektrischer oder anderer Ausrüstung; Wärmepumpen, ausgenommen Klimageräte der Position 8415: kombinierte Kühl- und Gefrierschränke mit gesonderten Außentüren oder Schubladen oder Kombinationen davon: andere</t>
  </si>
  <si>
    <t>KAPITEL 84 - KERNREAKTOREN, KESSEL, MASCHINEN, APPARATE UND MECHANISCHE GERÄTE; TEILE DAVON: Kühl- und Gefrierschränke, Gefrier- und Tiefkühltruhen und andere Einrichtungen, Maschinen, Apparate und Geräte zur Kälteerzeugung, mit elektrischer oder anderer Ausrüstung; Wärmepumpen, ausgenommen Klimageräte der Position 8415: kombinierte Kühl- und Gefrierschränke mit gesonderten Außentüren: andere</t>
  </si>
  <si>
    <t>zum Herstellen von Backwaren</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</si>
  <si>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fetten pflanzlichen oder mikrobiellen Ölen oder Fetten: Maschinen und Apparate zum Herstellen von Back- oder Teigwaren: zum Herstellen von Backwaren</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</si>
  <si>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pflanzlichen Ölen oder Fetten: Maschinen und Apparate zum Herstellen von Back- oder Teigwaren: zum Herstellen von Backwaren</t>
  </si>
  <si>
    <t>zum Herstellen von Teigwaren</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</si>
  <si>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fetten pflanzlichen oder mikrobiellen Ölen oder Fetten: Maschinen und Apparate zum Herstellen von Back- oder Teigwaren: zum Herstellen von Teigwaren</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</si>
  <si>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pflanzlichen Ölen oder Fetten: Maschinen und Apparate zum Herstellen von Back- oder Teigwaren: zum Herstellen von Teigwaren</t>
  </si>
  <si>
    <t>Maschinen und Apparate zum Herstellen von Süßwaren, Kakao oder Schokolade</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</si>
  <si>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fetten pflanzlichen oder mikrobiellen Ölen oder Fetten: Maschinen und Apparate zum Herstellen von Süßwaren, Kakao oder Schokolade</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</si>
  <si>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pflanzlichen Ölen oder Fetten: Maschinen und Apparate zum Herstellen von Süßwaren, Kakao oder Schokolade</t>
  </si>
  <si>
    <t>Maschinen und Apparate zum Herstellen von Zucker</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</si>
  <si>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fetten pflanzlichen oder mikrobiellen Ölen oder Fetten: Maschinen und Apparate zum Herstellen von Zucker</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</si>
  <si>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pflanzlichen Ölen oder Fetten: Maschinen und Apparate zum Herstellen von Zucker</t>
  </si>
  <si>
    <t>Brauereimaschinen und -apparate</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</si>
  <si>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fetten pflanzlichen oder mikrobiellen Ölen oder Fetten: Brauereimaschinen und -apparate</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</si>
  <si>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pflanzlichen Ölen oder Fetten: Brauereimaschinen und -apparate</t>
  </si>
  <si>
    <t>Maschinen und Apparate zum Verarbeiten von Fleisch</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</si>
  <si>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fetten pflanzlichen oder mikrobiellen Ölen oder Fetten: Maschinen und Apparate zum Verarbeiten von Fleisch</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</si>
  <si>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pflanzlichen Ölen oder Fetten: Maschinen und Apparate zum Verarbeiten von Fleisch</t>
  </si>
  <si>
    <t>Maschinen und Apparate zum Be- oder Verarbeiten von Früchten oder Gemüsen</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</si>
  <si>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fetten pflanzlichen oder mikrobiellen Ölen oder Fetten: Maschinen und Apparate zum Be- oder Verarbeiten von Früchten oder Gemüsen</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</si>
  <si>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pflanzlichen Ölen oder Fetten: Maschinen und Apparate zum Be- oder Verarbeiten von Früchten oder Gemüsen</t>
  </si>
  <si>
    <t>zum Auf- oder Zubereiten oder Verarbeiten von Kaffee oder Tee</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</si>
  <si>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fetten pflanzlichen oder mikrobiellen Ölen oder Fetten: andere Maschinen und Apparate: zum Auf- oder Zubereiten oder Verarbeiten von Kaffee oder Tee</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</si>
  <si>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pflanzlichen Ölen oder Fetten: andere Maschinen und Apparate: zum Auf- oder Zubereiten oder Verarbeiten von Kaffee oder Tee</t>
  </si>
  <si>
    <t>zum Zubereiten oder Herstellen von Getränken</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</si>
  <si>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fetten pflanzlichen oder mikrobiellen Ölen oder Fetten: andere Maschinen und Apparate: andere: zum Zubereiten oder Herstellen von Getränken</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</si>
  <si>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pflanzlichen Ölen oder Fetten: andere Maschinen und Apparate: andere: zum Zubereiten oder Herstellen von Getränken</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</si>
  <si>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fetten pflanzlichen oder mikrobiellen Ölen oder Fetten: andere Maschinen und Apparate: andere: andere</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</si>
  <si>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pflanzlichen Ölen oder Fetten: andere Maschinen und Apparate: andere: andere</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</si>
  <si>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fetten pflanzlichen oder mikrobiellen Ölen oder Fetten: Teile</t>
  </si>
  <si>
    <t>KAPITEL 84 - KERNREAKTOREN, KESSEL, MASCHINEN, APPARATE UND MECHANISCHE GERÄTE; TEILE DAVON: Maschinen und Apparate, im Kapitel 84 anderweit weder genannt noch inbegriffen, zum industriellen Auf- oder Zubereiten oder Herstellen von Lebensmitteln, Futtermitteln oder Getränken, ausgenommen Maschinen und Apparate zum Gewinnen oder Aufbereiten von tierischen oder pflanzlichen Ölen oder Fetten: Teile</t>
  </si>
  <si>
    <t>numerisch gesteuert</t>
  </si>
  <si>
    <t>zum Bearbeiten von Flacherzeugnissen</t>
  </si>
  <si>
    <t>KAPITEL 84 - KERNREAKTOREN, KESSEL, MASCHINEN, APPARATE UND MECHANISCHE GERÄTE; TEILE DAVON: Werkzeugmaschinen (einschließlich Pressen) zum Schmieden, Gesenkschmieden oder Hämmern von Metallen (ausgenommen Walzwerke); Werkzeugmaschinen (einschließlich Pressen, Längsteilanlagen und Ablänganlagen) zum Biegen, Abkanten, Richten, Scheren, Lochstanzen, Ausklinken oder Nibbeln von Metallen (ausgenommen Ziehbänke); Pressen zum Bearbeiten von Metallen oder Metallcarbiden, vorstehend nicht genannt: Biegemaschinen, Abkantmaschinen und Richtmaschinen (einschließlich Abkantpressen) für Flacherzeugnisse: andere: numerisch gesteuert</t>
  </si>
  <si>
    <t>KAPITEL 84 - KERNREAKTOREN, KESSEL, MASCHINEN, APPARATE UND MECHANISCHE GERÄTE; TEILE DAVON: Werkzeugmaschinen (einschließlich Pressen) zum Freiformschmieden, Gesenkschmieden oder Hämmern von Metallen; Werkzeugmaschinen (einschließlich Pressen) zum Biegen, Abkanten, Richten, Scheren, Lochstanzen oder Ausklinken von Metallen; Pressen zum Bearbeiten von Metallen oder Metallcarbiden, vorstehend nicht genannt: Biegemaschinen, Abkantmaschinen und Richtmaschinen (einschließlich Pressen): andere: zum Bearbeiten von Flacherzeugnissen</t>
  </si>
  <si>
    <t>Maschinen, Apparate und Geräte zum Gewinnen oder Aufbereiten von tierischen oder fetten pflanzlichen oder mikrobiellen Ölen oder Fetten</t>
  </si>
  <si>
    <t>Maschinen, Apparate und Geräte zum Gewinnen oder Aufbereiten von tierischen oder fetten pflanzlichen Ölen oder Fetten</t>
  </si>
  <si>
    <t>KAPITEL 84 - KERNREAKTOREN, KESSEL, MASCHINEN, APPARATE UND MECHANISCHE GERÄTE; TEILE DAVON: Maschinen, Apparate und mechanische Geräte mit eigener Funktion, in diesem Kapitel anderweit weder genannt noch inbegriffen: Maschinen, Apparate und Geräte zum Gewinnen oder Aufbereiten von tierischen oder fetten pflanzlichen oder mikrobiellen Ölen oder Fetten</t>
  </si>
  <si>
    <t>KAPITEL 84 - KERNREAKTOREN, KESSEL, MASCHINEN, APPARATE UND MECHANISCHE GERÄTE; TEILE DAVON: Maschinen, Apparate und mechanische Geräte mit eigener Funktion, in diesem Kapitel anderweit weder genannt noch inbegriffen: Maschinen, Apparate und Geräte zum Gewinnen oder Aufbereiten von tierischen oder fetten pflanzlichen Ölen oder Fetten</t>
  </si>
  <si>
    <t>Nadellager, einschließlich Zusammenstellungen aus Käfig und Nadelrollen (Nadelkränze)</t>
  </si>
  <si>
    <t>Nadellager</t>
  </si>
  <si>
    <t>KAPITEL 84 - KERNREAKTOREN, KESSEL, MASCHINEN, APPARATE UND MECHANISCHE GERÄTE; TEILE DAVON: Wälzlager (Kugellager, Rollenlager und Nadellager): Nadellager, einschließlich Zusammenstellungen aus Käfig und Nadelrollen (Nadelkränze)</t>
  </si>
  <si>
    <t>KAPITEL 84 - KERNREAKTOREN, KESSEL, MASCHINEN, APPARATE UND MECHANISCHE GERÄTE; TEILE DAVON: Wälzlager (Kugellager, Rollenlager und Nadellager): Nadellager</t>
  </si>
  <si>
    <t>andere Zylinderrollenlager, einschließlich Zusammenstellungen aus Käfig und Zylinderrollen</t>
  </si>
  <si>
    <t>Zylinderrollenlager</t>
  </si>
  <si>
    <t>KAPITEL 84 - KERNREAKTOREN, KESSEL, MASCHINEN, APPARATE UND MECHANISCHE GERÄTE; TEILE DAVON: Wälzlager (Kugellager, Rollenlager und Nadellager): andere Zylinderrollenlager, einschließlich Zusammenstellungen aus Käfig und Zylinderrollen</t>
  </si>
  <si>
    <t>KAPITEL 84 - KERNREAKTOREN, KESSEL, MASCHINEN, APPARATE UND MECHANISCHE GERÄTE; TEILE DAVON: Wälzlager (Kugellager, Rollenlager und Nadellager): Zylinderrollenlager</t>
  </si>
  <si>
    <t>Maschinen, Apparate und Geräte zum Herstellen von Halbleiterbarren (boules) oder Halbleiterscheiben (wafers)</t>
  </si>
  <si>
    <t>KAPITEL 84 - KERNREAKTOREN, KESSEL, MASCHINEN, APPARATE UND MECHANISCHE GERÄTE; TEILE DAVON: Maschinen, Apparate und Geräte von der ausschließlich oder hauptsächlich zum Herstellen von Halbleiterbarren (boules), Halbleiterscheiben (wafers) oder Halbleiterbauelementen, elektronischen integrierten Schaltungen oder Flachbildschirmen verwendeten Art; in Anmerkung 11 C zu diesem Kapitel genannte Maschinen, Apparate und Geräte; Teile und Zubehör: Maschinen, Apparate und Geräte zum Herstellen von Halbleiterbarren (boules) oder Halbleiterscheiben (wafers)</t>
  </si>
  <si>
    <t>KAPITEL 84 - KERNREAKTOREN, KESSEL, MASCHINEN, APPARATE UND MECHANISCHE GERÄTE; TEILE DAVON: Maschinen, Apparate und Geräte von der ausschließlich oder hauptsächlich zum Herstellen von Halbleiterbarren (boules), Halbleiterscheiben (wafers) oder Halbleiterbauelementen, elektronischen integrierten Schaltungen oder Flachbildschirmen verwendeten Art; in Anmerkung 9 C zu diesem Kapitel genannte Maschinen, Apparate und Geräte; Teile und Zubehör: Maschinen, Apparate und Geräte zum Herstellen von Halbleiterbarren (boules) oder Halbleiterscheiben (wafers)</t>
  </si>
  <si>
    <t>Maschinen, Apparate und Geräte zum Herstellen von Halbleiterbauelementen oder elektronischen integrierten Schaltungen</t>
  </si>
  <si>
    <t>KAPITEL 84 - KERNREAKTOREN, KESSEL, MASCHINEN, APPARATE UND MECHANISCHE GERÄTE; TEILE DAVON: Maschinen, Apparate und Geräte von der ausschließlich oder hauptsächlich zum Herstellen von Halbleiterbarren (boules), Halbleiterscheiben (wafers) oder Halbleiterbauelementen, elektronischen integrierten Schaltungen oder Flachbildschirmen verwendeten Art; in Anmerkung 11 C zu diesem Kapitel genannte Maschinen, Apparate und Geräte; Teile und Zubehör: Maschinen, Apparate und Geräte zum Herstellen von Halbleiterbauelementen oder elektronischen integrierten Schaltungen</t>
  </si>
  <si>
    <t>KAPITEL 84 - KERNREAKTOREN, KESSEL, MASCHINEN, APPARATE UND MECHANISCHE GERÄTE; TEILE DAVON: Maschinen, Apparate und Geräte von der ausschließlich oder hauptsächlich zum Herstellen von Halbleiterbarren (boules), Halbleiterscheiben (wafers) oder Halbleiterbauelementen, elektronischen integrierten Schaltungen oder Flachbildschirmen verwendeten Art; in Anmerkung 9 C zu diesem Kapitel genannte Maschinen, Apparate und Geräte; Teile und Zubehör: Maschinen, Apparate und Geräte zum Herstellen von Halbleiterbauelementen oder elektronischen integrierten Schaltungen</t>
  </si>
  <si>
    <t>Maschinen, Apparate und Geräte zum Herstellen von Flachbildschirmen</t>
  </si>
  <si>
    <t>KAPITEL 84 - KERNREAKTOREN, KESSEL, MASCHINEN, APPARATE UND MECHANISCHE GERÄTE; TEILE DAVON: Maschinen, Apparate und Geräte von der ausschließlich oder hauptsächlich zum Herstellen von Halbleiterbarren (boules), Halbleiterscheiben (wafers) oder Halbleiterbauelementen, elektronischen integrierten Schaltungen oder Flachbildschirmen verwendeten Art; in Anmerkung 11 C zu diesem Kapitel genannte Maschinen, Apparate und Geräte; Teile und Zubehör: Maschinen, Apparate und Geräte zum Herstellen von Flachbildschirmen</t>
  </si>
  <si>
    <t>KAPITEL 84 - KERNREAKTOREN, KESSEL, MASCHINEN, APPARATE UND MECHANISCHE GERÄTE; TEILE DAVON: Maschinen, Apparate und Geräte von der ausschließlich oder hauptsächlich zum Herstellen von Halbleiterbarren (boules), Halbleiterscheiben (wafers) oder Halbleiterbauelementen, elektronischen integrierten Schaltungen oder Flachbildschirmen verwendeten Art; in Anmerkung 9 C zu diesem Kapitel genannte Maschinen, Apparate und Geräte; Teile und Zubehör: Maschinen, Apparate und Geräte zum Herstellen von Flachbildschirmen</t>
  </si>
  <si>
    <t>in Anmerkung 11 C zu diesem Kapitel genannte Maschinen, Apparate und Geräte</t>
  </si>
  <si>
    <t>in Anmerkung 9 C zu diesem Kapitel genannte Maschinen, Apparate und Geräte</t>
  </si>
  <si>
    <t>KAPITEL 84 - KERNREAKTOREN, KESSEL, MASCHINEN, APPARATE UND MECHANISCHE GERÄTE; TEILE DAVON: Maschinen, Apparate und Geräte von der ausschließlich oder hauptsächlich zum Herstellen von Halbleiterbarren (boules), Halbleiterscheiben (wafers) oder Halbleiterbauelementen, elektronischen integrierten Schaltungen oder Flachbildschirmen verwendeten Art; in Anmerkung 11 C zu diesem Kapitel genannte Maschinen, Apparate und Geräte; Teile und Zubehör: in Anmerkung 11 C zu diesem Kapitel genannte Maschinen, Apparate und Geräte</t>
  </si>
  <si>
    <t>KAPITEL 84 - KERNREAKTOREN, KESSEL, MASCHINEN, APPARATE UND MECHANISCHE GERÄTE; TEILE DAVON: Maschinen, Apparate und Geräte von der ausschließlich oder hauptsächlich zum Herstellen von Halbleiterbarren (boules), Halbleiterscheiben (wafers) oder Halbleiterbauelementen, elektronischen integrierten Schaltungen oder Flachbildschirmen verwendeten Art; in Anmerkung 9 C zu diesem Kapitel genannte Maschinen, Apparate und Geräte; Teile und Zubehör: in Anmerkung 9 C zu diesem Kapitel genannte Maschinen, Apparate und Geräte</t>
  </si>
  <si>
    <t>Teile und Zubehör</t>
  </si>
  <si>
    <t>KAPITEL 84 - KERNREAKTOREN, KESSEL, MASCHINEN, APPARATE UND MECHANISCHE GERÄTE; TEILE DAVON: Maschinen, Apparate und Geräte von der ausschließlich oder hauptsächlich zum Herstellen von Halbleiterbarren (boules), Halbleiterscheiben (wafers) oder Halbleiterbauelementen, elektronischen integrierten Schaltungen oder Flachbildschirmen verwendeten Art; in Anmerkung 11 C zu diesem Kapitel genannte Maschinen, Apparate und Geräte; Teile und Zubehör: Teile und Zubehör</t>
  </si>
  <si>
    <t>KAPITEL 84 - KERNREAKTOREN, KESSEL, MASCHINEN, APPARATE UND MECHANISCHE GERÄTE; TEILE DAVON: Maschinen, Apparate und Geräte von der ausschließlich oder hauptsächlich zum Herstellen von Halbleiterbarren (boules), Halbleiterscheiben (wafers) oder Halbleiterbauelementen, elektronischen integrierten Schaltungen oder Flachbildschirmen verwendeten Art; in Anmerkung 9 C zu diesem Kapitel genannte Maschinen, Apparate und Geräte; Teile und Zubehör: Teile und Zubehör</t>
  </si>
  <si>
    <t>mit einer Leistung von 750 W oder weniger</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</si>
  <si>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andere Gleichstrommotoren; Gleichstromgeneratoren, ausgenommen fotovoltaische Generatoren: mit einer Leistung von 750 W oder weniger</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</si>
  <si>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andere Gleichstrommotoren; Gleichstromgeneratoren: mit einer Leistung von 750 W oder weniger</t>
  </si>
  <si>
    <t>mit einer Leistung von mehr als 750 W bis 75 kW</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</si>
  <si>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andere Gleichstrommotoren; Gleichstromgeneratoren, ausgenommen fotovoltaische Generatoren: mit einer Leistung von mehr als 750 W bis 75 kW</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</si>
  <si>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andere Gleichstrommotoren; Gleichstromgeneratoren: mit einer Leistung von mehr als 750 W bis 75 kW</t>
  </si>
  <si>
    <t>mit einer Leistung von mehr als 75 kW bis 375 kW</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</si>
  <si>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andere Gleichstrommotoren; Gleichstromgeneratoren, ausgenommen fotovoltaische Generatoren: mit einer Leistung von mehr als 75 kW bis 375 kW</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</si>
  <si>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andere Gleichstrommotoren; Gleichstromgeneratoren: mit einer Leistung von mehr als 75 kW bis 375 kW</t>
  </si>
  <si>
    <t>mit einer Leistung von mehr als 375 kW</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</si>
  <si>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andere Gleichstrommotoren; Gleichstromgeneratoren, ausgenommen fotovoltaische Generatoren: mit einer Leistung von mehr als 375 kW</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</si>
  <si>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andere Gleichstrommotoren; Gleichstromgeneratoren: mit einer Leistung von mehr als 375 kW</t>
  </si>
  <si>
    <t>mit einer Leistung von 7,5 kVA oder weniger</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</si>
  <si>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Wechselstromgeneratoren, ausgenommen fotovoltaische Generatoren: mit einer Leistung von 75 kVA oder weniger: mit einer Leistung von 7,5 kVA oder weniger</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</si>
  <si>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Wechselstromgeneratoren: mit einer Leistung von 75 kVA oder weniger: mit einer Leistung von 7,5 kVA oder weniger</t>
  </si>
  <si>
    <t>mit einer Leistung von mehr als 7,5 kVA bis 75 kVA</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</si>
  <si>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Wechselstromgeneratoren, ausgenommen fotovoltaische Generatoren: mit einer Leistung von 75 kVA oder weniger: mit einer Leistung von mehr als 7,5 kVA bis 75 kVA</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</si>
  <si>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Wechselstromgeneratoren: mit einer Leistung von 75 kVA oder weniger: mit einer Leistung von mehr als 7,5 kVA bis 75 kVA</t>
  </si>
  <si>
    <t>mit einer Leistung von mehr als 75 kVA bis 375 kVA</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</si>
  <si>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Wechselstromgeneratoren, ausgenommen fotovoltaische Generatoren: mit einer Leistung von mehr als 75 kVA bis 375 kVA</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</si>
  <si>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Wechselstromgeneratoren: mit einer Leistung von mehr als 75 kVA bis 375 kVA</t>
  </si>
  <si>
    <t>mit einer Leistung von mehr als 375 kVA bis 750 kVA</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</si>
  <si>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Wechselstromgeneratoren, ausgenommen fotovoltaische Generatoren: mit einer Leistung von mehr als 375 kVA bis 750 kVA</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</si>
  <si>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Wechselstromgeneratoren: mit einer Leistung von mehr als 375 kVA bis 750 kVA</t>
  </si>
  <si>
    <t>mit einer Leistung von mehr als 750 kVA</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</si>
  <si>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Wechselstromgeneratoren, ausgenommen fotovoltaische Generatoren: mit einer Leistung von mehr als 750 kVA</t>
  </si>
  <si>
    <t>KAPITEL 85 - ELEKTRISCHE MASCHINEN, APPARATE, GERÄTE UND ANDERE ELEKTROTECHNISCHE WAREN, TEILE DAVON; TONAUFNAHME- ODER TONWIEDERGABEGERÄTE, BILD- UND TONAUFZEICHNUNGS- ODER -WIEDERGABEGERÄTE, FÜR DAS FERNSEHEN, TEILE UND ZUBEHÖR FÜR DIESE GERÄTE: Elektromotoren und elektrische Generatoren, ausgenommen Stromerzeugungsaggregate: Wechselstromgeneratoren: mit einer Leistung von mehr als 750 kVA</t>
  </si>
  <si>
    <t>von anderen Öfen der Unterpositionen 85143110, 85143210 oder 85143910</t>
  </si>
  <si>
    <t>von anderen Öfen der Unterposition 85143020</t>
  </si>
  <si>
    <t>KAPITEL 85 - ELEKTRISCHE MASCHINEN, APPARATE, GERÄTE UND ANDERE ELEKTROTECHNISCHE WAREN, TEILE DAVON; TONAUFNAHME- ODER TONWIEDERGABEGERÄTE, BILD- UND TONAUFZEICHNUNGS- ODER -WIEDERGABEGERÄTE, FÜR DAS FERNSEHEN, TEILE UND ZUBEHÖR FÜR DIESE GERÄTE: Elektrische Industrie- oder Laboratoriumsöfen, einschließlich Induktionsöfen oder Öfen mit dielektrischer Erwärmung; andere Industrie- oder Laboratoriumsapparate zum Warmbehandeln von Stoffen mittels Induktion oder dielektrischer Erwärmung: Teile: von anderen Öfen der Unterpositionen 85143110, 85143210 oder 85143910</t>
  </si>
  <si>
    <t>KAPITEL 85 - ELEKTRISCHE MASCHINEN, APPARATE, GERÄTE UND ANDERE ELEKTROTECHNISCHE WAREN, TEILE DAVON; TONAUFNAHME- ODER TONWIEDERGABEGERÄTE, BILD- UND TONAUFZEICHNUNGS- ODER -WIEDERGABEGERÄTE, FÜR DAS FERNSEHEN, TEILE UND ZUBEHÖR FÜR DIESE GERÄTE: Elektrische Industrie- oder Laboratoriumsöfen, einschließlich Induktionsöfen oder Öfen mit dielektrischer Erwärmung; andere Industrie- oder Laboratoriumsapparate zum Warmbehandeln von Stoffen mittels Induktion oder dielektrischer Erwärmung: Teile: von anderen Öfen der Unterposition 85143020</t>
  </si>
  <si>
    <t>Fernsprechapparate für die drahtgebundene Fernsprechtechnik mit schnurlosem Hörer</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</si>
  <si>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Smartphones und andere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Fernsprechapparate, einschließlich Smartphones und andere Telefone für zellulare Netzwerke und andere drahtlose Netzwerke: Fernsprechapparate für die drahtgebundene Fernsprechtechnik mit schnurlosem Hörer</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</si>
  <si>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Fernsprechapparate, einschließlich Telefone für zellulare Netzwerke und andere drahtlose Netzwerke: Fernsprechapparate für die drahtgebundene Fernsprechtechnik mit schnurlosem Hörer</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</si>
  <si>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Smartphones und andere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Fernsprechapparate, einschließlich Smartphones und andere Telefone für zellulare Netzwerke und andere drahtlose Netzwerke: andere</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</si>
  <si>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Fernsprechapparate, einschließlich Telefone für zellulare Netzwerke und andere drahtlose Netzwerke: andere</t>
  </si>
  <si>
    <t>Basisstationen</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</si>
  <si>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Smartphones und andere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andere Sende- oder Empfangsgeräte für Töne, Bilder oder andere Daten, einschließlich Apparate für die Kommunikation in einem drahtgebundenen oder drahtlosen Netzwerk (wie ein lokales Netzwerk oder ein Weitverkehrsnetzwerk): Basisstationen</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</si>
  <si>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andere Sende- oder Empfangsgeräte für Töne, Bilder oder andere Daten, einschließlich Apparate für die Kommunikation in einem drahtgebundenen oder drahtlosen Netzwerk (wie ein lokales Netzwerk oder ein Weitverkehrsnetzwerk): Basisstationen</t>
  </si>
  <si>
    <t>Geräte zum Empfangen, Konvertieren und Senden oder Regenerieren von Tönen, Bildern oder anderen Daten, einschließlich Geräte für die Vermittlung (switching) und Wegewahl (routing)</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</si>
  <si>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Smartphones und andere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andere Sende- oder Empfangsgeräte für Töne, Bilder oder andere Daten, einschließlich Apparate für die Kommunikation in einem drahtgebundenen oder drahtlosen Netzwerk (wie ein lokales Netzwerk oder ein Weitverkehrsnetzwerk): Geräte zum Empfangen, Konvertieren und Senden oder Regenerieren von Tönen, Bildern oder anderen Daten, einschließlich Geräte für die Vermittlung (switching) und Wegewahl (routing)</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</si>
  <si>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andere Sende- oder Empfangsgeräte für Töne, Bilder oder andere Daten, einschließlich Apparate für die Kommunikation in einem drahtgebundenen oder drahtlosen Netzwerk (wie ein lokales Netzwerk oder ein Weitverkehrsnetzwerk): Geräte zum Empfangen, Konvertieren und Senden oder Regenerieren von Tönen, Bildern oder anderen Daten, einschließlich Geräte für die Vermittlung (switching) und Wegewahl (routing)</t>
  </si>
  <si>
    <t>Videofone</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</si>
  <si>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Smartphones und andere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andere Sende- oder Empfangsgeräte für Töne, Bilder oder andere Daten, einschließlich Apparate für die Kommunikation in einem drahtgebundenen oder drahtlosen Netzwerk (wie ein lokales Netzwerk oder ein Weitverkehrsnetzwerk): andere: Videofone</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</si>
  <si>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andere Sende- oder Empfangsgeräte für Töne, Bilder oder andere Daten, einschließlich Apparate für die Kommunikation in einem drahtgebundenen oder drahtlosen Netzwerk (wie ein lokales Netzwerk oder ein Weitverkehrsnetzwerk): andere: Videofone</t>
  </si>
  <si>
    <t>Gegensprechanlagen</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</si>
  <si>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Smartphones und andere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andere Sende- oder Empfangsgeräte für Töne, Bilder oder andere Daten, einschließlich Apparate für die Kommunikation in einem drahtgebundenen oder drahtlosen Netzwerk (wie ein lokales Netzwerk oder ein Weitverkehrsnetzwerk): andere: Gegensprechanlagen</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</si>
  <si>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andere Sende- oder Empfangsgeräte für Töne, Bilder oder andere Daten, einschließlich Apparate für die Kommunikation in einem drahtgebundenen oder drahtlosen Netzwerk (wie ein lokales Netzwerk oder ein Weitverkehrsnetzwerk): andere: Gegensprechanlagen</t>
  </si>
  <si>
    <t>Empfangsgeräte für den Funksprech- oder Funktelegrafieverkehr</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</si>
  <si>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Smartphones und andere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andere Sende- oder Empfangsgeräte für Töne, Bilder oder andere Daten, einschließlich Apparate für die Kommunikation in einem drahtgebundenen oder drahtlosen Netzwerk (wie ein lokales Netzwerk oder ein Weitverkehrsnetzwerk): andere: Empfangsgeräte für den Funksprech- oder Funktelegrafieverkehr</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</si>
  <si>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andere Sende- oder Empfangsgeräte für Töne, Bilder oder andere Daten, einschließlich Apparate für die Kommunikation in einem drahtgebundenen oder drahtlosen Netzwerk (wie ein lokales Netzwerk oder ein Weitverkehrsnetzwerk): andere: Empfangsgeräte für den Funksprech- oder Funktelegrafieverkehr</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</si>
  <si>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Smartphones und andere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andere Sende- oder Empfangsgeräte für Töne, Bilder oder andere Daten, einschließlich Apparate für die Kommunikation in einem drahtgebundenen oder drahtlosen Netzwerk (wie ein lokales Netzwerk oder ein Weitverkehrsnetzwerk): andere: andere</t>
  </si>
  <si>
    <t>KAPITEL 85 - ELEKTRISCHE MASCHINEN, APPARATE, GERÄTE UND ANDERE ELEKTROTECHNISCHE WAREN, TEILE DAVON; TONAUFNAHME- ODER TONWIEDERGABEGERÄTE, BILD- UND TONAUFZEICHNUNGS- ODER -WIEDERGABEGERÄTE, FÜR DAS FERNSEHEN, TEILE UND ZUBEHÖR FÜR DIESE GERÄTE: Fernsprechapparate, einschließlich Telefone für zellulare Netzwerke oder für andere drahtlose Netzwerke; andere Sende- oder Empfangsgeräte für Töne, Bilder oder andere Daten, einschließlich Apparate für die Kommunikation in einem drahtgebundenen oder drahtlosen Netzwerk (wie ein lokales Netzwerk oder ein Weitverkehrsnetzwerk), ausgenommen solche der Position 8443, 8525, 8527 oder 8528: andere Sende- oder Empfangsgeräte für Töne, Bilder oder andere Daten, einschließlich Apparate für die Kommunikation in einem drahtgebundenen oder drahtlosen Netzwerk (wie ein lokales Netzwerk oder ein Weitverkehrsnetzwerk): andere: andere</t>
  </si>
  <si>
    <t>Teleskop- und Stabantennen für Taschen-, Koffer- und Kraftfahrzeugempfangsgeräte</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</si>
  <si>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8524 bis 8528 bestimmt: Antennen und Antennenreflektoren aller Art; Teile, die erkennbar mit diesen Waren verwendet werden: Antennen: Teleskop- und Stabantennen für Taschen-, Koffer- und Kraftfahrzeugempfangsgeräte</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</si>
  <si>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8525 bis 8528 bestimmt: Antennen und Antennenreflektoren aller Art; Teile, die erkennbar mit diesen Waren verwendet werden: Antennen: Teleskop- und Stabantennen für Taschen-, Koffer- und Kraftfahrzeugempfangsgeräte</t>
  </si>
  <si>
    <t>Außenantennen für Rundfunk- und Fernsehempfang</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</si>
  <si>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8524 bis 8528 bestimmt: Antennen und Antennenreflektoren aller Art; Teile, die erkennbar mit diesen Waren verwendet werden: Antennen: Außenantennen für Rundfunk- und Fernsehempfang</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</si>
  <si>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8525 bis 8528 bestimmt: Antennen und Antennenreflektoren aller Art; Teile, die erkennbar mit diesen Waren verwendet werden: Antennen: Außenantennen für Rundfunk- und Fernsehempfang</t>
  </si>
  <si>
    <t>Innenantennen für Rundfunk- und Fernsehempfang, einschließlich Geräteeinbauantennen</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</si>
  <si>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8524 bis 8528 bestimmt: Antennen und Antennenreflektoren aller Art; Teile, die erkennbar mit diesen Waren verwendet werden: Antennen: Innenantennen für Rundfunk- und Fernsehempfang, einschließlich Geräteeinbauantennen</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</si>
  <si>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8525 bis 8528 bestimmt: Antennen und Antennenreflektoren aller Art; Teile, die erkennbar mit diesen Waren verwendet werden: Antennen: Innenantennen für Rundfunk- und Fernsehempfang, einschließlich Geräteeinbauantennen</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</si>
  <si>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8524 bis 8528 bestimmt: Antennen und Antennenreflektoren aller Art; Teile, die erkennbar mit diesen Waren verwendet werden: Antennen: andere</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</si>
  <si>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8525 bis 8528 bestimmt: Antennen und Antennenreflektoren aller Art; Teile, die erkennbar mit diesen Waren verwendet werden: Antennen: andere</t>
  </si>
  <si>
    <t>Filter und Weichen, für Antennen</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</si>
  <si>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8524 bis 8528 bestimmt: Antennen und Antennenreflektoren aller Art; Teile, die erkennbar mit diesen Waren verwendet werden: Filter und Weichen, für Antennen</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</si>
  <si>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8525 bis 8528 bestimmt: Antennen und Antennenreflektoren aller Art; Teile, die erkennbar mit diesen Waren verwendet werden: Filter und Weichen, für Antennen</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</si>
  <si>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8524 bis 8528 bestimmt: Antennen und Antennenreflektoren aller Art; Teile, die erkennbar mit diesen Waren verwendet werden: andere</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</si>
  <si>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8525 bis 8528 bestimmt: Antennen und Antennenreflektoren aller Art; Teile, die erkennbar mit diesen Waren verwendet werden: andere</t>
  </si>
  <si>
    <t>Module mit organischen Leuchtdioden und Tafeln mit organischen Leuchtdioden für Geräte der Unterposition 852872 oder 852873</t>
  </si>
  <si>
    <t>Module mit organischen Leuchtdioden und Tafeln mit organischen Leuchtdioden für Geräte der Unterposition 852872 oder  852873</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</si>
  <si>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8524 bis 8528 bestimmt: andere: Module mit organischen Leuchtdioden und Tafeln mit organischen Leuchtdioden für Geräte der Unterposition 852872 oder 852873</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</si>
  <si>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8525 bis 8528 bestimmt: andere: Module mit organischen Leuchtdioden und Tafeln mit organischen Leuchtdioden für Geräte der Unterposition 852872 oder  852873</t>
  </si>
  <si>
    <t>von digitalen Fotoapparaten der Unterpositionen 85258100, 85258200, 85258300 und 85258900; von Apparaten der Unterpositionen 85256000, 85284200, 85285210 und 85286200</t>
  </si>
  <si>
    <t>Teile von Geräten der Unterpositionen 85256000, 85258030, 85284200, 85285210 und 85286200</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</si>
  <si>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8524 bis 8528 bestimmt: andere: andere: von digitalen Fotoapparaten der Unterpositionen 85258100, 85258200, 85258300 und 85258900; von Apparaten der Unterpositionen 85256000, 85284200, 85285210 und 85286200</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</si>
  <si>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8525 bis 8528 bestimmt: andere: andere: Teile von Geräten der Unterpositionen 85256000, 85258030, 85284200, 85285210 und 85286200</t>
  </si>
  <si>
    <t>zusammengesetzte elektronische Schaltungen (Baugruppen)</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</si>
  <si>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8524 bis 8528 bestimmt: andere: andere: andere: zusammengesetzte elektronische Schaltungen (Baugruppen)</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</si>
  <si>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8525 bis 8528 bestimmt: andere: andere: andere: zusammengesetzte elektronische Schaltungen (Baugruppen)</t>
  </si>
  <si>
    <t>LED-Hintergrundbeleuchtungsmodule, d. h. Lichtquellen, bestehend aus einer oder mehreren Leuchtdioden (LED) und einem oder mehreren Anschlussstücken, die auf eine gedruckte Schaltung oder ein ähnliches Substrat montiert sind, und anderen passiven Komponenten, auch in Kombination mit optischen Komponenten oder Schutzdioden, und die als Hintergrundbeleuchtung für Flüssigkristalldisplays (LCD) verwendet werden</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</si>
  <si>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8524 bis 8528 bestimmt: andere: andere: andere: andere: LED-Hintergrundbeleuchtungsmodule, d. h. Lichtquellen, bestehend aus einer oder mehreren Leuchtdioden (LED) und einem oder mehreren Anschlussstücken, die auf eine gedruckte Schaltung oder ein ähnliches Substrat montiert sind, und anderen passiven Komponenten, auch in Kombination mit optischen Komponenten oder Schutzdioden, und die als Hintergrundbeleuchtung für Flüssigkristalldisplays (LCD) verwendet werden</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</si>
  <si>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8525 bis 8528 bestimmt: andere: andere: andere: andere: LED-Hintergrundbeleuchtungsmodule, d. h. Lichtquellen, bestehend aus einer oder mehreren Leuchtdioden (LED) und einem oder mehreren Anschlussstücken, die auf eine gedruckte Schaltung oder ein ähnliches Substrat montiert sind, und anderen passiven Komponenten, auch in Kombination mit optischen Komponenten oder Schutzdioden, und die als Hintergrundbeleuchtung für Flüssigkristalldisplays (LCD) verwendet werden</t>
  </si>
  <si>
    <t>Für Fernsehkameras der Unterpositionen 852581, 852582, 852583 und 852589 und Geräte der Positionen 8527 und 8528</t>
  </si>
  <si>
    <t>für Fernsehkameras der Unterpositionen 85258011 und 85258019 und Geräte der Positionen 8527 und 8528</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</si>
  <si>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8524 bis 8528 bestimmt: andere: andere: andere: andere: andere: Für Fernsehkameras der Unterpositionen 852581, 852582, 852583 und 852589 und Geräte der Positionen 8527 und 8528</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</si>
  <si>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8525 bis 8528 bestimmt: andere: andere: andere: andere: andere: für Fernsehkameras der Unterpositionen 85258011 und 85258019 und Geräte der Positionen 8527 und 8528</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</si>
  <si>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8524 bis 8528 bestimmt: andere: andere: andere: andere: andere: andere</t>
  </si>
  <si>
    <t>KAPITEL 85 - ELEKTRISCHE MASCHINEN, APPARATE, GERÄTE UND ANDERE ELEKTROTECHNISCHE WAREN, TEILE DAVON; TONAUFNAHME- ODER TONWIEDERGABEGERÄTE, BILD- UND TONAUFZEICHNUNGS- ODER -WIEDERGABEGERÄTE, FÜR DAS FERNSEHEN, TEILE UND ZUBEHÖR FÜR DIESE GERÄTE: Teile, erkennbar ausschließlich oder hauptsächlich für Geräte der Positionen 8525 bis 8528 bestimmt: andere: andere: andere: andere: andere: andere</t>
  </si>
  <si>
    <t>innenverspiegelte Scheinwerferlampen (sealed beam lamp units)</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</si>
  <si>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innenverspiegelte Scheinwerferlampen (sealed beam lamp units)</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</si>
  <si>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innenverspiegelte Scheinwerferlampen (sealed beam lamp units)</t>
  </si>
  <si>
    <t>Lampen von der für Krafträder und andere Kraftfahrzeuge verwendeten Art</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</si>
  <si>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andere Glühlampen, ausgenommen Ultraviolett- und Infrarotlampen: Wolfram-Halogen-Glühlampen: Lampen von der für Krafträder und andere Kraftfahrzeuge verwendeten Art</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</si>
  <si>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andere Glühlampen, ausgenommen Ultraviolett- und Infrarotlampen: Wolfram-Halogen-Glühlampen: Lampen von der für Krafträder und andere Kraftfahrzeuge verwendeten Art</t>
  </si>
  <si>
    <t>mehr als 100 V</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</si>
  <si>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andere Glühlampen, ausgenommen Ultraviolett- und Infrarotlampen: Wolfram-Halogen-Glühlampen: andere, für eine Spannung von: mehr als 100 V</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</si>
  <si>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andere Glühlampen, ausgenommen Ultraviolett- und Infrarotlampen: Wolfram-Halogen-Glühlampen: andere, für eine Spannung von: mehr als 100 V</t>
  </si>
  <si>
    <t>100 V oder weniger</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</si>
  <si>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andere Glühlampen, ausgenommen Ultraviolett- und Infrarotlampen: Wolfram-Halogen-Glühlampen: andere, für eine Spannung von: 100 V oder weniger</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</si>
  <si>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andere Glühlampen, ausgenommen Ultraviolett- und Infrarotlampen: Wolfram-Halogen-Glühlampen: andere, für eine Spannung von: 100 V oder weniger</t>
  </si>
  <si>
    <t>Reflektorlampen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</si>
  <si>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andere Glühlampen, ausgenommen Ultraviolett- und Infrarotlampen: andere, mit einer Leistung von 200 W oder weniger und für eine Spannung von mehr als 100 V: Reflektorlampen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</si>
  <si>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andere Glühlampen, ausgenommen Ultraviolett- und Infrarotlampen: andere, mit einer Leistung von 200 W oder weniger und für eine Spannung von mehr als 100 V: Reflektorlampen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</si>
  <si>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andere Glühlampen, ausgenommen Ultraviolett- und Infrarotlampen: andere, mit einer Leistung von 200 W oder weniger und für eine Spannung von mehr als 100 V: andere</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</si>
  <si>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andere Glühlampen, ausgenommen Ultraviolett- und Infrarotlampen: andere, mit einer Leistung von 200 W oder weniger und für eine Spannung von mehr als 100 V: andere</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</si>
  <si>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andere Glühlampen, ausgenommen Ultraviolett- und Infrarotlampen: andere: Lampen von der für Krafträder und andere Kraftfahrzeuge verwendeten Art</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</si>
  <si>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andere Glühlampen, ausgenommen Ultraviolett- und Infrarotlampen: andere: Lampen von der für Krafträder und andere Kraftfahrzeuge verwendeten Art</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</si>
  <si>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andere Glühlampen, ausgenommen Ultraviolett- und Infrarotlampen: andere: andere, für eine Spannung von: mehr als 100 V</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</si>
  <si>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andere Glühlampen, ausgenommen Ultraviolett- und Infrarotlampen: andere: andere, für eine Spannung von: mehr als 100 V</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</si>
  <si>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andere Glühlampen, ausgenommen Ultraviolett- und Infrarotlampen: andere: andere, für eine Spannung von: 100 V oder weniger</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</si>
  <si>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andere Glühlampen, ausgenommen Ultraviolett- und Infrarotlampen: andere: andere, für eine Spannung von: 100 V oder weniger</t>
  </si>
  <si>
    <t>mit zwei Lampensockeln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</si>
  <si>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Entladungslampen, ausgenommen Ultraviolettlampen: Glühkathoden-Leuchtstofflampen: mit zwei Lampensockeln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</si>
  <si>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Entladungslampen, ausgenommen Ultraviolettlampen: Glühkathoden-Leuchtstofflampen: mit zwei Lampensockeln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</si>
  <si>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Entladungslampen, ausgenommen Ultraviolettlampen: Glühkathoden-Leuchtstofflampen: andere</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</si>
  <si>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Entladungslampen, ausgenommen Ultraviolettlampen: Glühkathoden-Leuchtstofflampen: andere</t>
  </si>
  <si>
    <t>Quecksilber- oder Natriumdampflampen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</si>
  <si>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Entladungslampen, ausgenommen Ultraviolettlampen: Quecksilber- oder Natriumdampflampen; Halogen-Metalldampflampen: Quecksilber- oder Natriumdampflampen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</si>
  <si>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Entladungslampen, ausgenommen Ultraviolettlampen: Quecksilber- oder Natriumdampflampen; Halogen-Metalldampflampen: Quecksilber- oder Natriumdampflampen</t>
  </si>
  <si>
    <t>Halogen-Metalldampflampen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</si>
  <si>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Entladungslampen, ausgenommen Ultraviolettlampen: Quecksilber- oder Natriumdampflampen; Halogen-Metalldampflampen: Halogen-Metalldampflampen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</si>
  <si>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Entladungslampen, ausgenommen Ultraviolettlampen: Quecksilber- oder Natriumdampflampen; Halogen-Metalldampflampen: Halogen-Metalldampflampen</t>
  </si>
  <si>
    <t>Kaltkathoden-Fluoreszenzlampen (CCF-Lampen) für die Hintergrundbeleuchtung von Flachbildschirmen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</si>
  <si>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Entladungslampen, ausgenommen Ultraviolettlampen: andere: Kaltkathoden-Fluoreszenzlampen (CCF-Lampen) für die Hintergrundbeleuchtung von Flachbildschirmen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</si>
  <si>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Entladungslampen, ausgenommen Ultraviolettlampen: andere: Kaltkathoden-Fluoreszenzlampen (CCF-Lampen) für die Hintergrundbeleuchtung von Flachbildschirmen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</si>
  <si>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Entladungslampen, ausgenommen Ultraviolettlampen: andere: andere</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</si>
  <si>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Entladungslampen, ausgenommen Ultraviolettlampen: andere: andere</t>
  </si>
  <si>
    <t>Bogenlampen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</si>
  <si>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Ultraviolett- und Infrarotlampen; Bogenlampen: Bogenlampen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</si>
  <si>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Ultraviolett- und Infrarotlampen; Bogenlampen: Bogenlampen</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</si>
  <si>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Ultraviolett- und Infrarotlampen; Bogenlampen: andere</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</si>
  <si>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Ultraviolett- und Infrarotlampen; Bogenlampen: andere</t>
  </si>
  <si>
    <t>Lampensockel</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</si>
  <si>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Teile: Lampensockel</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</si>
  <si>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Teile: Lampensockel</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</si>
  <si>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Leuchtdiodenlichtquellen (LED-Lichtquellen): Teile: andere</t>
  </si>
  <si>
    <t>KAPITEL 85 - ELEKTRISCHE MASCHINEN, APPARATE, GERÄTE UND ANDERE ELEKTROTECHNISCHE WAREN, TEILE DAVON; TONAUFNAHME- ODER TONWIEDERGABEGERÄTE, BILD- UND TONAUFZEICHNUNGS- ODER -WIEDERGABEGERÄTE, FÜR DAS FERNSEHEN, TEILE UND ZUBEHÖR FÜR DIESE GERÄTE: Elektrische Glühlampen und Entladungslampen, einschließlich innenverspiegelte Scheinwerferlampen (sealed beam lamp units) und Ultraviolett- und Infrarotlampen; Bogenlampen; Leuchtdiodenlampen (LED): Teile: andere</t>
  </si>
  <si>
    <t>Dioden, andere als Fotodioden und Leuchtdioden (LED)</t>
  </si>
  <si>
    <t>KAPITEL 85 - ELEKTRISCHE MASCHINEN, APPARATE, GERÄTE UND ANDERE ELEKTROTECHNISCHE WAREN, TEILE DAVON; TONAUFNAHME- ODER TONWIEDERGABEGERÄTE, BILD- UND TONAUFZEICHNUNGS- ODER -WIEDERGABEGERÄTE, FÜR DAS FERNSEHEN, TEILE UND ZUBEHÖR FÜR DIESE GERÄTE: Halbleiterbauelemente (z. B. Dioden, Transistoren, halbleiterbasierte Transducer); lichtempfindliche Halbleiterbauelemente (einschließlich Fotoelemente, auch zu Modulen zusammengesetzt oder in Form von Tafeln); Leuchtdioden (LED), auch mit anderen Leuchtdioden (LED) zusammengesetzt; gefasste oder montierte piezoelektrische Kristalle: Dioden, andere als Fotodioden und Leuchtdioden (LED)</t>
  </si>
  <si>
    <t>KAPITEL 85 - ELEKTRISCHE MASCHINEN, APPARATE, GERÄTE UND ANDERE ELEKTROTECHNISCHE WAREN, TEILE DAVON; TONAUFNAHME- ODER TONWIEDERGABEGERÄTE, BILD- UND TONAUFZEICHNUNGS- ODER -WIEDERGABEGERÄTE, FÜR DAS FERNSEHEN, TEILE UND ZUBEHÖR FÜR DIESE GERÄTE: Dioden, Transistoren und ähnliche Halbleiterbauelemente; lichtempfindliche Halbleiterbauelemente (einschließlich Fotoelemente, auch zu Modulen zusammengesetzt oder in Form von Tafeln); Leuchtdioden (LED); gefasste oder montierte piezoelektrische Kristalle: Dioden, andere als Fotodioden und Leuchtdioden (LED)</t>
  </si>
  <si>
    <t>mit einer Verlustleistung von weniger als 1 W</t>
  </si>
  <si>
    <t>KAPITEL 85 - ELEKTRISCHE MASCHINEN, APPARATE, GERÄTE UND ANDERE ELEKTROTECHNISCHE WAREN, TEILE DAVON; TONAUFNAHME- ODER TONWIEDERGABEGERÄTE, BILD- UND TONAUFZEICHNUNGS- ODER -WIEDERGABEGERÄTE, FÜR DAS FERNSEHEN, TEILE UND ZUBEHÖR FÜR DIESE GERÄTE: Halbleiterbauelemente (z. B. Dioden, Transistoren, halbleiterbasierte Transducer); lichtempfindliche Halbleiterbauelemente (einschließlich Fotoelemente, auch zu Modulen zusammengesetzt oder in Form von Tafeln); Leuchtdioden (LED), auch mit anderen Leuchtdioden (LED) zusammengesetzt; gefasste oder montierte piezoelektrische Kristalle: Transistoren, andere als Fototransistoren: mit einer Verlustleistung von weniger als 1 W</t>
  </si>
  <si>
    <t>KAPITEL 85 - ELEKTRISCHE MASCHINEN, APPARATE, GERÄTE UND ANDERE ELEKTROTECHNISCHE WAREN, TEILE DAVON; TONAUFNAHME- ODER TONWIEDERGABEGERÄTE, BILD- UND TONAUFZEICHNUNGS- ODER -WIEDERGABEGERÄTE, FÜR DAS FERNSEHEN, TEILE UND ZUBEHÖR FÜR DIESE GERÄTE: Dioden, Transistoren und ähnliche Halbleiterbauelemente; lichtempfindliche Halbleiterbauelemente (einschließlich Fotoelemente, auch zu Modulen zusammengesetzt oder in Form von Tafeln); Leuchtdioden (LED); gefasste oder montierte piezoelektrische Kristalle: Transistoren, andere als Fototransistoren: mit einer Verlustleistung von weniger als 1 W</t>
  </si>
  <si>
    <t>KAPITEL 85 - ELEKTRISCHE MASCHINEN, APPARATE, GERÄTE UND ANDERE ELEKTROTECHNISCHE WAREN, TEILE DAVON; TONAUFNAHME- ODER TONWIEDERGABEGERÄTE, BILD- UND TONAUFZEICHNUNGS- ODER -WIEDERGABEGERÄTE, FÜR DAS FERNSEHEN, TEILE UND ZUBEHÖR FÜR DIESE GERÄTE: Halbleiterbauelemente (z. B. Dioden, Transistoren, halbleiterbasierte Transducer); lichtempfindliche Halbleiterbauelemente (einschließlich Fotoelemente, auch zu Modulen zusammengesetzt oder in Form von Tafeln); Leuchtdioden (LED), auch mit anderen Leuchtdioden (LED) zusammengesetzt; gefasste oder montierte piezoelektrische Kristalle: Transistoren, andere als Fototransistoren: andere</t>
  </si>
  <si>
    <t>KAPITEL 85 - ELEKTRISCHE MASCHINEN, APPARATE, GERÄTE UND ANDERE ELEKTROTECHNISCHE WAREN, TEILE DAVON; TONAUFNAHME- ODER TONWIEDERGABEGERÄTE, BILD- UND TONAUFZEICHNUNGS- ODER -WIEDERGABEGERÄTE, FÜR DAS FERNSEHEN, TEILE UND ZUBEHÖR FÜR DIESE GERÄTE: Dioden, Transistoren und ähnliche Halbleiterbauelemente; lichtempfindliche Halbleiterbauelemente (einschließlich Fotoelemente, auch zu Modulen zusammengesetzt oder in Form von Tafeln); Leuchtdioden (LED); gefasste oder montierte piezoelektrische Kristalle: Transistoren, andere als Fototransistoren: andere</t>
  </si>
  <si>
    <t>Thyristoren, Diacs und Triacs, ausgenommen lichtempfindliche Halbleiterbauelemente</t>
  </si>
  <si>
    <t>KAPITEL 85 - ELEKTRISCHE MASCHINEN, APPARATE, GERÄTE UND ANDERE ELEKTROTECHNISCHE WAREN, TEILE DAVON; TONAUFNAHME- ODER TONWIEDERGABEGERÄTE, BILD- UND TONAUFZEICHNUNGS- ODER -WIEDERGABEGERÄTE, FÜR DAS FERNSEHEN, TEILE UND ZUBEHÖR FÜR DIESE GERÄTE: Halbleiterbauelemente (z. B. Dioden, Transistoren, halbleiterbasierte Transducer); lichtempfindliche Halbleiterbauelemente (einschließlich Fotoelemente, auch zu Modulen zusammengesetzt oder in Form von Tafeln); Leuchtdioden (LED), auch mit anderen Leuchtdioden (LED) zusammengesetzt; gefasste oder montierte piezoelektrische Kristalle: Thyristoren, Diacs und Triacs, ausgenommen lichtempfindliche Halbleiterbauelemente</t>
  </si>
  <si>
    <t>KAPITEL 85 - ELEKTRISCHE MASCHINEN, APPARATE, GERÄTE UND ANDERE ELEKTROTECHNISCHE WAREN, TEILE DAVON; TONAUFNAHME- ODER TONWIEDERGABEGERÄTE, BILD- UND TONAUFZEICHNUNGS- ODER -WIEDERGABEGERÄTE, FÜR DAS FERNSEHEN, TEILE UND ZUBEHÖR FÜR DIESE GERÄTE: Dioden, Transistoren und ähnliche Halbleiterbauelemente; lichtempfindliche Halbleiterbauelemente (einschließlich Fotoelemente, auch zu Modulen zusammengesetzt oder in Form von Tafeln); Leuchtdioden (LED); gefasste oder montierte piezoelektrische Kristalle: Thyristoren, Diacs und Triacs, ausgenommen lichtempfindliche Halbleiterbauelemente</t>
  </si>
  <si>
    <t>gefasste oder montierte piezoelektrische Kristalle</t>
  </si>
  <si>
    <t>KAPITEL 85 - ELEKTRISCHE MASCHINEN, APPARATE, GERÄTE UND ANDERE ELEKTROTECHNISCHE WAREN, TEILE DAVON; TONAUFNAHME- ODER TONWIEDERGABEGERÄTE, BILD- UND TONAUFZEICHNUNGS- ODER -WIEDERGABEGERÄTE, FÜR DAS FERNSEHEN, TEILE UND ZUBEHÖR FÜR DIESE GERÄTE: Halbleiterbauelemente (z. B. Dioden, Transistoren, halbleiterbasierte Transducer); lichtempfindliche Halbleiterbauelemente (einschließlich Fotoelemente, auch zu Modulen zusammengesetzt oder in Form von Tafeln); Leuchtdioden (LED), auch mit anderen Leuchtdioden (LED) zusammengesetzt; gefasste oder montierte piezoelektrische Kristalle: gefasste oder montierte piezoelektrische Kristalle</t>
  </si>
  <si>
    <t>KAPITEL 85 - ELEKTRISCHE MASCHINEN, APPARATE, GERÄTE UND ANDERE ELEKTROTECHNISCHE WAREN, TEILE DAVON; TONAUFNAHME- ODER TONWIEDERGABEGERÄTE, BILD- UND TONAUFZEICHNUNGS- ODER -WIEDERGABEGERÄTE, FÜR DAS FERNSEHEN, TEILE UND ZUBEHÖR FÜR DIESE GERÄTE: Dioden, Transistoren und ähnliche Halbleiterbauelemente; lichtempfindliche Halbleiterbauelemente (einschließlich Fotoelemente, auch zu Modulen zusammengesetzt oder in Form von Tafeln); Leuchtdioden (LED); gefasste oder montierte piezoelektrische Kristalle: gefasste oder montierte piezoelektrische Kristalle</t>
  </si>
  <si>
    <t>KAPITEL 85 - ELEKTRISCHE MASCHINEN, APPARATE, GERÄTE UND ANDERE ELEKTROTECHNISCHE WAREN, TEILE DAVON; TONAUFNAHME- ODER TONWIEDERGABEGERÄTE, BILD- UND TONAUFZEICHNUNGS- ODER -WIEDERGABEGERÄTE, FÜR DAS FERNSEHEN, TEILE UND ZUBEHÖR FÜR DIESE GERÄTE: Halbleiterbauelemente (z. B. Dioden, Transistoren, halbleiterbasierte Transducer); lichtempfindliche Halbleiterbauelemente (einschließlich Fotoelemente, auch zu Modulen zusammengesetzt oder in Form von Tafeln); Leuchtdioden (LED), auch mit anderen Leuchtdioden (LED) zusammengesetzt; gefasste oder montierte piezoelektrische Kristalle: Teile</t>
  </si>
  <si>
    <t>KAPITEL 85 - ELEKTRISCHE MASCHINEN, APPARATE, GERÄTE UND ANDERE ELEKTROTECHNISCHE WAREN, TEILE DAVON; TONAUFNAHME- ODER TONWIEDERGABEGERÄTE, BILD- UND TONAUFZEICHNUNGS- ODER -WIEDERGABEGERÄTE, FÜR DAS FERNSEHEN, TEILE UND ZUBEHÖR FÜR DIESE GERÄTE: Dioden, Transistoren und ähnliche Halbleiterbauelemente; lichtempfindliche Halbleiterbauelemente (einschließlich Fotoelemente, auch zu Modulen zusammengesetzt oder in Form von Tafeln); Leuchtdioden (LED); gefasste oder montierte piezoelektrische Kristalle: Teile</t>
  </si>
  <si>
    <t>Multikomponente Integrierte Schaltungen (MCOs)</t>
  </si>
  <si>
    <t>KAPITEL 85 - ELEKTRISCHE MASCHINEN, APPARATE, GERÄTE UND ANDERE ELEKTROTECHNISCHE WAREN, TEILE DAVON; TONAUFNAHME- ODER TONWIEDERGABEGERÄTE, BILD- UND TONAUFZEICHNUNGS- ODER -WIEDERGABEGERÄTE, FÜR DAS FERNSEHEN, TEILE UND ZUBEHÖR FÜR DIESE GERÄTE: Elektronische integrierte Schaltungen: elektronische integrierte Schaltungen: Prozessoren und Steuer- und Kontrollschaltungen, auch in Verbindung mit Speichern, Wandlern, logischen Schaltungen, Verstärkern, Uhren und Taktgeberschaltungen oder anderen Schaltungen: in Anmerkung 12 b), Ziffern 3 und 4, zu diesem Kapitel genannte Waren: Multikomponente Integrierte Schaltungen (MCOs)</t>
  </si>
  <si>
    <t>KAPITEL 85 - ELEKTRISCHE MASCHINEN, APPARATE, GERÄTE UND ANDERE ELEKTROTECHNISCHE WAREN, TEILE DAVON; TONAUFNAHME- ODER TONWIEDERGABEGERÄTE, BILD- UND TONAUFZEICHNUNGS- ODER -WIEDERGABEGERÄTE, FÜR DAS FERNSEHEN, TEILE UND ZUBEHÖR FÜR DIESE GERÄTE: Elektronische integrierte Schaltungen: elektronische integrierte Schaltungen: Prozessoren und Steuer- und Kontrollschaltungen, auch in Verbindung mit Speichern, Wandlern, logischen Schaltungen, Verstärkern, Uhren und Taktgeberschaltungen oder anderen Schaltungen: in Anmerkung 9 b), Ziffern 3 und 4, zu diesem Kapitel genannte Waren: Multikomponente Integrierte Schaltungen (MCOs)</t>
  </si>
  <si>
    <t>KAPITEL 85 - ELEKTRISCHE MASCHINEN, APPARATE, GERÄTE UND ANDERE ELEKTROTECHNISCHE WAREN, TEILE DAVON; TONAUFNAHME- ODER TONWIEDERGABEGERÄTE, BILD- UND TONAUFZEICHNUNGS- ODER -WIEDERGABEGERÄTE, FÜR DAS FERNSEHEN, TEILE UND ZUBEHÖR FÜR DIESE GERÄTE: Elektronische integrierte Schaltungen: elektronische integrierte Schaltungen: Prozessoren und Steuer- und Kontrollschaltungen, auch in Verbindung mit Speichern, Wandlern, logischen Schaltungen, Verstärkern, Uhren und Taktgeberschaltungen oder anderen Schaltungen: in Anmerkung 12 b), Ziffern 3 und 4, zu diesem Kapitel genannte Waren: andere</t>
  </si>
  <si>
    <t>KAPITEL 85 - ELEKTRISCHE MASCHINEN, APPARATE, GERÄTE UND ANDERE ELEKTROTECHNISCHE WAREN, TEILE DAVON; TONAUFNAHME- ODER TONWIEDERGABEGERÄTE, BILD- UND TONAUFZEICHNUNGS- ODER -WIEDERGABEGERÄTE, FÜR DAS FERNSEHEN, TEILE UND ZUBEHÖR FÜR DIESE GERÄTE: Elektronische integrierte Schaltungen: elektronische integrierte Schaltungen: Prozessoren und Steuer- und Kontrollschaltungen, auch in Verbindung mit Speichern, Wandlern, logischen Schaltungen, Verstärkern, Uhren und Taktgeberschaltungen oder anderen Schaltungen: in Anmerkung 9 b), Ziffern 3 und 4, zu diesem Kapitel genannte Waren: andere</t>
  </si>
  <si>
    <t>KAPITEL 85 - ELEKTRISCHE MASCHINEN, APPARATE, GERÄTE UND ANDERE ELEKTROTECHNISCHE WAREN, TEILE DAVON; TONAUFNAHME- ODER TONWIEDERGABEGERÄTE, BILD- UND TONAUFZEICHNUNGS- ODER -WIEDERGABEGERÄTE, FÜR DAS FERNSEHEN, TEILE UND ZUBEHÖR FÜR DIESE GERÄTE: Elektronische integrierte Schaltungen: elektronische integrierte Schaltungen: Speicher: in Anmerkung 12 b), Ziffern 3 und 4, zu diesem Kapitel genannte Waren: Multikomponente Integrierte Schaltungen (MCOs)</t>
  </si>
  <si>
    <t>KAPITEL 85 - ELEKTRISCHE MASCHINEN, APPARATE, GERÄTE UND ANDERE ELEKTROTECHNISCHE WAREN, TEILE DAVON; TONAUFNAHME- ODER TONWIEDERGABEGERÄTE, BILD- UND TONAUFZEICHNUNGS- ODER -WIEDERGABEGERÄTE, FÜR DAS FERNSEHEN, TEILE UND ZUBEHÖR FÜR DIESE GERÄTE: Elektronische integrierte Schaltungen: elektronische integrierte Schaltungen: Speicher: in Anmerkung 9 b), Ziffern 3 und 4, zu diesem Kapitel genannte Waren: Multikomponente Integrierte Schaltungen (MCOs)</t>
  </si>
  <si>
    <t>KAPITEL 85 - ELEKTRISCHE MASCHINEN, APPARATE, GERÄTE UND ANDERE ELEKTROTECHNISCHE WAREN, TEILE DAVON; TONAUFNAHME- ODER TONWIEDERGABEGERÄTE, BILD- UND TONAUFZEICHNUNGS- ODER -WIEDERGABEGERÄTE, FÜR DAS FERNSEHEN, TEILE UND ZUBEHÖR FÜR DIESE GERÄTE: Elektronische integrierte Schaltungen: elektronische integrierte Schaltungen: Speicher: in Anmerkung 12 b), Ziffern 3 und 4, zu diesem Kapitel genannte Waren: andere</t>
  </si>
  <si>
    <t>KAPITEL 85 - ELEKTRISCHE MASCHINEN, APPARATE, GERÄTE UND ANDERE ELEKTROTECHNISCHE WAREN, TEILE DAVON; TONAUFNAHME- ODER TONWIEDERGABEGERÄTE, BILD- UND TONAUFZEICHNUNGS- ODER -WIEDERGABEGERÄTE, FÜR DAS FERNSEHEN, TEILE UND ZUBEHÖR FÜR DIESE GERÄTE: Elektronische integrierte Schaltungen: elektronische integrierte Schaltungen: Speicher: in Anmerkung 9 b), Ziffern 3 und 4, zu diesem Kapitel genannte Waren: andere</t>
  </si>
  <si>
    <t>KAPITEL 85 - ELEKTRISCHE MASCHINEN, APPARATE, GERÄTE UND ANDERE ELEKTROTECHNISCHE WAREN, TEILE DAVON; TONAUFNAHME- ODER TONWIEDERGABEGERÄTE, BILD- UND TONAUFZEICHNUNGS- ODER -WIEDERGABEGERÄTE, FÜR DAS FERNSEHEN, TEILE UND ZUBEHÖR FÜR DIESE GERÄTE: Elektronische integrierte Schaltungen: elektronische integrierte Schaltungen: andere: in Anmerkung 12 b), Ziffern 3 und 4, zu diesem Kapitel genannte Waren: Multikomponente Integrierte Schaltungen (MCOs)</t>
  </si>
  <si>
    <t>KAPITEL 85 - ELEKTRISCHE MASCHINEN, APPARATE, GERÄTE UND ANDERE ELEKTROTECHNISCHE WAREN, TEILE DAVON; TONAUFNAHME- ODER TONWIEDERGABEGERÄTE, BILD- UND TONAUFZEICHNUNGS- ODER -WIEDERGABEGERÄTE, FÜR DAS FERNSEHEN, TEILE UND ZUBEHÖR FÜR DIESE GERÄTE: Elektronische integrierte Schaltungen: elektronische integrierte Schaltungen: andere: in Anmerkung 9 b), Ziffern 3 und 4, zu diesem Kapitel genannte Waren: Multikomponente Integrierte Schaltungen (MCOs)</t>
  </si>
  <si>
    <t>KAPITEL 85 - ELEKTRISCHE MASCHINEN, APPARATE, GERÄTE UND ANDERE ELEKTROTECHNISCHE WAREN, TEILE DAVON; TONAUFNAHME- ODER TONWIEDERGABEGERÄTE, BILD- UND TONAUFZEICHNUNGS- ODER -WIEDERGABEGERÄTE, FÜR DAS FERNSEHEN, TEILE UND ZUBEHÖR FÜR DIESE GERÄTE: Elektronische integrierte Schaltungen: elektronische integrierte Schaltungen: andere: in Anmerkung 12 b), Ziffern 3 und 4, zu diesem Kapitel genannte Waren: andere</t>
  </si>
  <si>
    <t>KAPITEL 85 - ELEKTRISCHE MASCHINEN, APPARATE, GERÄTE UND ANDERE ELEKTROTECHNISCHE WAREN, TEILE DAVON; TONAUFNAHME- ODER TONWIEDERGABEGERÄTE, BILD- UND TONAUFZEICHNUNGS- ODER -WIEDERGABEGERÄTE, FÜR DAS FERNSEHEN, TEILE UND ZUBEHÖR FÜR DIESE GERÄTE: Elektronische integrierte Schaltungen: elektronische integrierte Schaltungen: andere: in Anmerkung 9 b), Ziffern 3 und 4, zu diesem Kapitel genannte Waren: andere</t>
  </si>
  <si>
    <t>mit einem Hubraum von mehr als 2800 cm³</t>
  </si>
  <si>
    <t>KAPITEL 87 - ZUGMASCHINEN, KRAFTWAGEN, KRAFTRÄDER, FAHRRÄDER UND ANDERE NICHT SCHIENENGEBUNDENE LANDFAHRZEUGE, TEILE DAVON UND ZUBEHÖR: Kraftfahrzeuge zum Befördern von 10 oder mehr Personen, einschließlich Fahrer: mit Kolbenverbrennungsmotor mit Fremdzündung und mit Elektromotor angetrieben: mit einem Hubraum von mehr als 2800 cm³</t>
  </si>
  <si>
    <t>KAPITEL 87 - ZUGMASCHINEN, KRAFTWAGEN, KRAFTRÄDER, FAHRRÄDER UND ANDERE NICHT SCHIENENGEBUNDENE LANDFAHRZEUGE, TEILE DAVON UND ZUBEHÖR: Kraftfahrzeuge zum Befördern von 10 oder mehr Personen, einschließlich Fahrer: mit Hubkolbenverbrennungsmotor mit Fremdzündung und mit Elektromotor angetrieben: mit einem Hubraum von mehr als 2800 cm³</t>
  </si>
  <si>
    <t>mit einem Hubraum von 2800 cm³ oder weniger</t>
  </si>
  <si>
    <t>KAPITEL 87 - ZUGMASCHINEN, KRAFTWAGEN, KRAFTRÄDER, FAHRRÄDER UND ANDERE NICHT SCHIENENGEBUNDENE LANDFAHRZEUGE, TEILE DAVON UND ZUBEHÖR: Kraftfahrzeuge zum Befördern von 10 oder mehr Personen, einschließlich Fahrer: mit Kolbenverbrennungsmotor mit Fremdzündung und mit Elektromotor angetrieben: mit einem Hubraum von 2800 cm³ oder weniger</t>
  </si>
  <si>
    <t>KAPITEL 87 - ZUGMASCHINEN, KRAFTWAGEN, KRAFTRÄDER, FAHRRÄDER UND ANDERE NICHT SCHIENENGEBUNDENE LANDFAHRZEUGE, TEILE DAVON UND ZUBEHÖR: Kraftfahrzeuge zum Befördern von 10 oder mehr Personen, einschließlich Fahrer: mit Hubkolbenverbrennungsmotor mit Fremdzündung und mit Elektromotor angetrieben: mit einem Hubraum von 2800 cm³ oder weniger</t>
  </si>
  <si>
    <t>neu</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</si>
  <si>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Kolbenverbrennungsmotor mit Fremdzündung: mit einem Hubraum von 1000 cm³ oder weniger: neu</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</si>
  <si>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Hubkolbenverbrennungsmotor mit Fremdzündung: mit einem Hubraum von 1000 cm³ oder weniger: neu</t>
  </si>
  <si>
    <t>gebraucht</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</si>
  <si>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Kolbenverbrennungsmotor mit Fremdzündung: mit einem Hubraum von 1000 cm³ oder weniger: gebraucht</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</si>
  <si>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Hubkolbenverbrennungsmotor mit Fremdzündung: mit einem Hubraum von 1000 cm³ oder weniger: gebraucht</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</si>
  <si>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Kolbenverbrennungsmotor mit Fremdzündung: mit einem Hubraum von mehr als 1000 cm³ bis 1500 cm³: neu</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</si>
  <si>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Hubkolbenverbrennungsmotor mit Fremdzündung: mit einem Hubraum von mehr als 1000 cm³ bis 1500 cm³: neu</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</si>
  <si>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Kolbenverbrennungsmotor mit Fremdzündung: mit einem Hubraum von mehr als 1000 cm³ bis 1500 cm³: gebraucht</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</si>
  <si>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Hubkolbenverbrennungsmotor mit Fremdzündung: mit einem Hubraum von mehr als 1000 cm³ bis 1500 cm³: gebraucht</t>
  </si>
  <si>
    <t>Wohnmobile</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</si>
  <si>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Kolbenverbrennungsmotor mit Fremdzündung: mit einem Hubraum von mehr als 1500 cm³ bis 3000 cm³: neu: Wohnmobile</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</si>
  <si>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Hubkolbenverbrennungsmotor mit Fremdzündung: mit einem Hubraum von mehr als 1500 cm³ bis 3000 cm³: neu: Wohnmobile</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</si>
  <si>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Kolbenverbrennungsmotor mit Fremdzündung: mit einem Hubraum von mehr als 1500 cm³ bis 3000 cm³: neu: andere</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</si>
  <si>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Hubkolbenverbrennungsmotor mit Fremdzündung: mit einem Hubraum von mehr als 1500 cm³ bis 3000 cm³: neu: andere</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</si>
  <si>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Kolbenverbrennungsmotor mit Fremdzündung: mit einem Hubraum von mehr als 1500 cm³ bis 3000 cm³: gebraucht</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</si>
  <si>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Hubkolbenverbrennungsmotor mit Fremdzündung: mit einem Hubraum von mehr als 1500 cm³ bis 3000 cm³: gebraucht</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</si>
  <si>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Kolbenverbrennungsmotor mit Fremdzündung: mit einem Hubraum von mehr als 3000 cm³: neu</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</si>
  <si>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Hubkolbenverbrennungsmotor mit Fremdzündung: mit einem Hubraum von mehr als 3000 cm³: neu</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</si>
  <si>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Kolbenverbrennungsmotor mit Fremdzündung: mit einem Hubraum von mehr als 3000 cm³: gebraucht</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</si>
  <si>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ausschließlich mit Hubkolbenverbrennungsmotor mit Fremdzündung: mit einem Hubraum von mehr als 3000 cm³: gebraucht</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</si>
  <si>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mit Kolbenverbrennungsmotor mit Fremdzündung und mit Elektromotor angetrieben, ausgenommen solche, die durch Anstecken an externe elektrische Energiequellen aufgeladen werden: neu</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</si>
  <si>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mit Hubkolbenverbrennungsmotor mit Fremdzündung und mit Elektromotor angetrieben, ausgenommen solche, die durch Anstecken an externe elektrische Energiequellen aufgeladen werden: neu</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</si>
  <si>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mit Kolbenverbrennungsmotor mit Fremdzündung und mit Elektromotor angetrieben, ausgenommen solche, die durch Anstecken an externe elektrische Energiequellen aufgeladen werden: gebraucht</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</si>
  <si>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mit Hubkolbenverbrennungsmotor mit Fremdzündung und mit Elektromotor angetrieben, ausgenommen solche, die durch Anstecken an externe elektrische Energiequellen aufgeladen werden: gebraucht</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</si>
  <si>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mit Kolbenverbrennungsmotor mit Fremdzündung und mit Elektromotor angetrieben, die durch Anstecken an externe elektrische Energiequellen aufgeladen werden: neu</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</si>
  <si>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mit Hubkolbenverbrennungsmotor mit Fremdzündung und mit Elektromotor angetrieben, die durch Anstecken an externe elektrische Energiequellen aufgeladen werden: neu</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</si>
  <si>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mit Kolbenverbrennungsmotor mit Fremdzündung und mit Elektromotor angetrieben, die durch Anstecken an externe elektrische Energiequellen aufgeladen werden: gebraucht</t>
  </si>
  <si>
    <t>KAPITEL 87 - ZUGMASCHINEN, KRAFTWAGEN, KRAFTRÄDER, FAHRRÄDER UND ANDERE NICHT SCHIENENGEBUNDENE LANDFAHRZEUGE, TEILE DAVON UND ZUBEHÖR: Personenkraftwagen und andere Kraftfahrzeuge, ihrer Beschaffenheit nach hauptsächlich zur Personenbeförderung bestimmt (ausgenommen solche der Position 8702), einschließlich Kombinationskraftwagen und Rennwagen: andere Fahrzeuge mit Hubkolbenverbrennungsmotor mit Fremdzündung und mit Elektromotor angetrieben, die durch Anstecken an externe elektrische Energiequellen aufgeladen werden: gebraucht</t>
  </si>
  <si>
    <t>ihrer Beschaffenheit nach zum Befördern von Waren mit starker Radioaktivität besonders bestimmt (Euratom)</t>
  </si>
  <si>
    <t>KAPITEL 87 - ZUGMASCHINEN, KRAFTWAGEN, KRAFTRÄDER, FAHRRÄDER UND ANDERE NICHT SCHIENENGEBUNDENE LANDFAHRZEUGE, TEILE DAVON UND ZUBEHÖR: Kraftfahrzeuge für den Transport von Waren: andere, ausschließlich mit Kolbenverbrennungsmotor mit Selbstzündung (Diesel- oder Halbdieselmotor): mit einem zulässigen Gesamtgewicht von 5 t oder weniger: ihrer Beschaffenheit nach zum Befördern von Waren mit starker Radioaktivität besonders bestimmt (Euratom)</t>
  </si>
  <si>
    <t>KAPITEL 87 - ZUGMASCHINEN, KRAFTWAGEN, KRAFTRÄDER, FAHRRÄDER UND ANDERE NICHT SCHIENENGEBUNDENE LANDFAHRZEUGE, TEILE DAVON UND ZUBEHÖR: Kraftfahrzeuge für den Transport von Waren: andere, mit Kolbenverbrennungsmotor mit Selbstzündung (Diesel- oder Halbdieselmotor): mit einem zulässigen Gesamtgewicht von 5 t oder weniger: ihrer Beschaffenheit nach zum Befördern von Waren mit starker Radioaktivität besonders bestimmt (Euratom)</t>
  </si>
  <si>
    <t>KAPITEL 87 - ZUGMASCHINEN, KRAFTWAGEN, KRAFTRÄDER, FAHRRÄDER UND ANDERE NICHT SCHIENENGEBUNDENE LANDFAHRZEUGE, TEILE DAVON UND ZUBEHÖR: Kraftfahrzeuge für den Transport von Waren: andere, ausschließlich mit Kolbenverbrennungsmotor mit Selbstzündung (Diesel- oder Halbdieselmotor): mit einem zulässigen Gesamtgewicht von 5 t oder weniger: andere: mit Motor mit einem Hubraum von mehr als 2500 cm³: neu</t>
  </si>
  <si>
    <t>KAPITEL 87 - ZUGMASCHINEN, KRAFTWAGEN, KRAFTRÄDER, FAHRRÄDER UND ANDERE NICHT SCHIENENGEBUNDENE LANDFAHRZEUGE, TEILE DAVON UND ZUBEHÖR: Kraftfahrzeuge für den Transport von Waren: andere, mit Kolbenverbrennungsmotor mit Selbstzündung (Diesel- oder Halbdieselmotor): mit einem zulässigen Gesamtgewicht von 5 t oder weniger: andere: mit Motor mit einem Hubraum von mehr als 2500 cm³: neu</t>
  </si>
  <si>
    <t>KAPITEL 87 - ZUGMASCHINEN, KRAFTWAGEN, KRAFTRÄDER, FAHRRÄDER UND ANDERE NICHT SCHIENENGEBUNDENE LANDFAHRZEUGE, TEILE DAVON UND ZUBEHÖR: Kraftfahrzeuge für den Transport von Waren: andere, ausschließlich mit Kolbenverbrennungsmotor mit Selbstzündung (Diesel- oder Halbdieselmotor): mit einem zulässigen Gesamtgewicht von 5 t oder weniger: andere: mit Motor mit einem Hubraum von mehr als 2500 cm³: gebraucht</t>
  </si>
  <si>
    <t>KAPITEL 87 - ZUGMASCHINEN, KRAFTWAGEN, KRAFTRÄDER, FAHRRÄDER UND ANDERE NICHT SCHIENENGEBUNDENE LANDFAHRZEUGE, TEILE DAVON UND ZUBEHÖR: Kraftfahrzeuge für den Transport von Waren: andere, mit Kolbenverbrennungsmotor mit Selbstzündung (Diesel- oder Halbdieselmotor): mit einem zulässigen Gesamtgewicht von 5 t oder weniger: andere: mit Motor mit einem Hubraum von mehr als 2500 cm³: gebraucht</t>
  </si>
  <si>
    <t>KAPITEL 87 - ZUGMASCHINEN, KRAFTWAGEN, KRAFTRÄDER, FAHRRÄDER UND ANDERE NICHT SCHIENENGEBUNDENE LANDFAHRZEUGE, TEILE DAVON UND ZUBEHÖR: Kraftfahrzeuge für den Transport von Waren: andere, ausschließlich mit Kolbenverbrennungsmotor mit Selbstzündung (Diesel- oder Halbdieselmotor): mit einem zulässigen Gesamtgewicht von 5 t oder weniger: andere: mit Motor mit einem Hubraum von 2500 cm³ oder weniger: neu</t>
  </si>
  <si>
    <t>KAPITEL 87 - ZUGMASCHINEN, KRAFTWAGEN, KRAFTRÄDER, FAHRRÄDER UND ANDERE NICHT SCHIENENGEBUNDENE LANDFAHRZEUGE, TEILE DAVON UND ZUBEHÖR: Kraftfahrzeuge für den Transport von Waren: andere, mit Kolbenverbrennungsmotor mit Selbstzündung (Diesel- oder Halbdieselmotor): mit einem zulässigen Gesamtgewicht von 5 t oder weniger: andere: mit Motor mit einem Hubraum von 2500 cm³ oder weniger: neu</t>
  </si>
  <si>
    <t>KAPITEL 87 - ZUGMASCHINEN, KRAFTWAGEN, KRAFTRÄDER, FAHRRÄDER UND ANDERE NICHT SCHIENENGEBUNDENE LANDFAHRZEUGE, TEILE DAVON UND ZUBEHÖR: Kraftfahrzeuge für den Transport von Waren: andere, ausschließlich mit Kolbenverbrennungsmotor mit Selbstzündung (Diesel- oder Halbdieselmotor): mit einem zulässigen Gesamtgewicht von 5 t oder weniger: andere: mit Motor mit einem Hubraum von 2500 cm³ oder weniger: gebraucht</t>
  </si>
  <si>
    <t>KAPITEL 87 - ZUGMASCHINEN, KRAFTWAGEN, KRAFTRÄDER, FAHRRÄDER UND ANDERE NICHT SCHIENENGEBUNDENE LANDFAHRZEUGE, TEILE DAVON UND ZUBEHÖR: Kraftfahrzeuge für den Transport von Waren: andere, mit Kolbenverbrennungsmotor mit Selbstzündung (Diesel- oder Halbdieselmotor): mit einem zulässigen Gesamtgewicht von 5 t oder weniger: andere: mit Motor mit einem Hubraum von 2500 cm³ oder weniger: gebraucht</t>
  </si>
  <si>
    <t>KAPITEL 87 - ZUGMASCHINEN, KRAFTWAGEN, KRAFTRÄDER, FAHRRÄDER UND ANDERE NICHT SCHIENENGEBUNDENE LANDFAHRZEUGE, TEILE DAVON UND ZUBEHÖR: Kraftfahrzeuge für den Transport von Waren: andere, ausschließlich mit Kolbenverbrennungsmotor mit Selbstzündung (Diesel- oder Halbdieselmotor): mit einem zulässigen Gesamtgewicht von mehr als 5 t bis 20 t: ihrer Beschaffenheit nach zum Befördern von Waren mit starker Radioaktivität besonders bestimmt (Euratom)</t>
  </si>
  <si>
    <t>KAPITEL 87 - ZUGMASCHINEN, KRAFTWAGEN, KRAFTRÄDER, FAHRRÄDER UND ANDERE NICHT SCHIENENGEBUNDENE LANDFAHRZEUGE, TEILE DAVON UND ZUBEHÖR: Kraftfahrzeuge für den Transport von Waren: andere, mit Kolbenverbrennungsmotor mit Selbstzündung (Diesel- oder Halbdieselmotor): mit einem zulässigen Gesamtgewicht von mehr als 5 t bis 20 t: ihrer Beschaffenheit nach zum Befördern von Waren mit starker Radioaktivität besonders bestimmt (Euratom)</t>
  </si>
  <si>
    <t>KAPITEL 87 - ZUGMASCHINEN, KRAFTWAGEN, KRAFTRÄDER, FAHRRÄDER UND ANDERE NICHT SCHIENENGEBUNDENE LANDFAHRZEUGE, TEILE DAVON UND ZUBEHÖR: Kraftfahrzeuge für den Transport von Waren: andere, ausschließlich mit Kolbenverbrennungsmotor mit Selbstzündung (Diesel- oder Halbdieselmotor): mit einem zulässigen Gesamtgewicht von mehr als 5 t bis 20 t: andere: neu</t>
  </si>
  <si>
    <t>KAPITEL 87 - ZUGMASCHINEN, KRAFTWAGEN, KRAFTRÄDER, FAHRRÄDER UND ANDERE NICHT SCHIENENGEBUNDENE LANDFAHRZEUGE, TEILE DAVON UND ZUBEHÖR: Kraftfahrzeuge für den Transport von Waren: andere, mit Kolbenverbrennungsmotor mit Selbstzündung (Diesel- oder Halbdieselmotor): mit einem zulässigen Gesamtgewicht von mehr als 5 t bis 20 t: andere: neu</t>
  </si>
  <si>
    <t>KAPITEL 87 - ZUGMASCHINEN, KRAFTWAGEN, KRAFTRÄDER, FAHRRÄDER UND ANDERE NICHT SCHIENENGEBUNDENE LANDFAHRZEUGE, TEILE DAVON UND ZUBEHÖR: Kraftfahrzeuge für den Transport von Waren: andere, ausschließlich mit Kolbenverbrennungsmotor mit Selbstzündung (Diesel- oder Halbdieselmotor): mit einem zulässigen Gesamtgewicht von mehr als 5 t bis 20 t: andere: gebraucht</t>
  </si>
  <si>
    <t>KAPITEL 87 - ZUGMASCHINEN, KRAFTWAGEN, KRAFTRÄDER, FAHRRÄDER UND ANDERE NICHT SCHIENENGEBUNDENE LANDFAHRZEUGE, TEILE DAVON UND ZUBEHÖR: Kraftfahrzeuge für den Transport von Waren: andere, mit Kolbenverbrennungsmotor mit Selbstzündung (Diesel- oder Halbdieselmotor): mit einem zulässigen Gesamtgewicht von mehr als 5 t bis 20 t: andere: gebraucht</t>
  </si>
  <si>
    <t>KAPITEL 87 - ZUGMASCHINEN, KRAFTWAGEN, KRAFTRÄDER, FAHRRÄDER UND ANDERE NICHT SCHIENENGEBUNDENE LANDFAHRZEUGE, TEILE DAVON UND ZUBEHÖR: Kraftfahrzeuge für den Transport von Waren: andere, ausschließlich mit Kolbenverbrennungsmotor mit Selbstzündung (Diesel- oder Halbdieselmotor): mit einem zulässigen Gesamtgewicht von mehr als 20 t: ihrer Beschaffenheit nach zum Befördern von Waren mit starker Radioaktivität besonders bestimmt (Euratom)</t>
  </si>
  <si>
    <t>KAPITEL 87 - ZUGMASCHINEN, KRAFTWAGEN, KRAFTRÄDER, FAHRRÄDER UND ANDERE NICHT SCHIENENGEBUNDENE LANDFAHRZEUGE, TEILE DAVON UND ZUBEHÖR: Kraftfahrzeuge für den Transport von Waren: andere, mit Kolbenverbrennungsmotor mit Selbstzündung (Diesel- oder Halbdieselmotor): mit einem zulässigen Gesamtgewicht von mehr als 20 t: ihrer Beschaffenheit nach zum Befördern von Waren mit starker Radioaktivität besonders bestimmt (Euratom)</t>
  </si>
  <si>
    <t>KAPITEL 87 - ZUGMASCHINEN, KRAFTWAGEN, KRAFTRÄDER, FAHRRÄDER UND ANDERE NICHT SCHIENENGEBUNDENE LANDFAHRZEUGE, TEILE DAVON UND ZUBEHÖR: Kraftfahrzeuge für den Transport von Waren: andere, ausschließlich mit Kolbenverbrennungsmotor mit Selbstzündung (Diesel- oder Halbdieselmotor): mit einem zulässigen Gesamtgewicht von mehr als 20 t: andere: neu</t>
  </si>
  <si>
    <t>KAPITEL 87 - ZUGMASCHINEN, KRAFTWAGEN, KRAFTRÄDER, FAHRRÄDER UND ANDERE NICHT SCHIENENGEBUNDENE LANDFAHRZEUGE, TEILE DAVON UND ZUBEHÖR: Kraftfahrzeuge für den Transport von Waren: andere, mit Kolbenverbrennungsmotor mit Selbstzündung (Diesel- oder Halbdieselmotor): mit einem zulässigen Gesamtgewicht von mehr als 20 t: andere: neu</t>
  </si>
  <si>
    <t>KAPITEL 87 - ZUGMASCHINEN, KRAFTWAGEN, KRAFTRÄDER, FAHRRÄDER UND ANDERE NICHT SCHIENENGEBUNDENE LANDFAHRZEUGE, TEILE DAVON UND ZUBEHÖR: Kraftfahrzeuge für den Transport von Waren: andere, ausschließlich mit Kolbenverbrennungsmotor mit Selbstzündung (Diesel- oder Halbdieselmotor): mit einem zulässigen Gesamtgewicht von mehr als 20 t: andere: gebraucht</t>
  </si>
  <si>
    <t>KAPITEL 87 - ZUGMASCHINEN, KRAFTWAGEN, KRAFTRÄDER, FAHRRÄDER UND ANDERE NICHT SCHIENENGEBUNDENE LANDFAHRZEUGE, TEILE DAVON UND ZUBEHÖR: Kraftfahrzeuge für den Transport von Waren: andere, mit Kolbenverbrennungsmotor mit Selbstzündung (Diesel- oder Halbdieselmotor): mit einem zulässigen Gesamtgewicht von mehr als 20 t: andere: gebraucht</t>
  </si>
  <si>
    <t>KAPITEL 87 - ZUGMASCHINEN, KRAFTWAGEN, KRAFTRÄDER, FAHRRÄDER UND ANDERE NICHT SCHIENENGEBUNDENE LANDFAHRZEUGE, TEILE DAVON UND ZUBEHÖR: Kraftfahrzeuge für den Transport von Waren: andere, ausschließlich mit Kolbenverbrennungsmotor mit Fremdzündung: mit einem zulässigen Gesamtgewicht von 5 t oder weniger: ihrer Beschaffenheit nach zum Befördern von Waren mit starker Radioaktivität besonders bestimmt (Euratom)</t>
  </si>
  <si>
    <t>KAPITEL 87 - ZUGMASCHINEN, KRAFTWAGEN, KRAFTRÄDER, FAHRRÄDER UND ANDERE NICHT SCHIENENGEBUNDENE LANDFAHRZEUGE, TEILE DAVON UND ZUBEHÖR: Kraftfahrzeuge für den Transport von Waren: andere, mit Kolbenverbrennungsmotor mit Fremdzündung: mit einem zulässigen Gesamtgewicht von 5 t oder weniger: ihrer Beschaffenheit nach zum Befördern von Waren mit starker Radioaktivität besonders bestimmt (Euratom)</t>
  </si>
  <si>
    <t>KAPITEL 87 - ZUGMASCHINEN, KRAFTWAGEN, KRAFTRÄDER, FAHRRÄDER UND ANDERE NICHT SCHIENENGEBUNDENE LANDFAHRZEUGE, TEILE DAVON UND ZUBEHÖR: Kraftfahrzeuge für den Transport von Waren: andere, ausschließlich mit Kolbenverbrennungsmotor mit Fremdzündung: mit einem zulässigen Gesamtgewicht von 5 t oder weniger: andere: mit Motor mit einem Hubraum von mehr als 2800 cm³: neu</t>
  </si>
  <si>
    <t>KAPITEL 87 - ZUGMASCHINEN, KRAFTWAGEN, KRAFTRÄDER, FAHRRÄDER UND ANDERE NICHT SCHIENENGEBUNDENE LANDFAHRZEUGE, TEILE DAVON UND ZUBEHÖR: Kraftfahrzeuge für den Transport von Waren: andere, mit Kolbenverbrennungsmotor mit Fremdzündung: mit einem zulässigen Gesamtgewicht von 5 t oder weniger: andere: mit Motor mit einem Hubraum von mehr als 2800 cm³: neu</t>
  </si>
  <si>
    <t>KAPITEL 87 - ZUGMASCHINEN, KRAFTWAGEN, KRAFTRÄDER, FAHRRÄDER UND ANDERE NICHT SCHIENENGEBUNDENE LANDFAHRZEUGE, TEILE DAVON UND ZUBEHÖR: Kraftfahrzeuge für den Transport von Waren: andere, ausschließlich mit Kolbenverbrennungsmotor mit Fremdzündung: mit einem zulässigen Gesamtgewicht von 5 t oder weniger: andere: mit Motor mit einem Hubraum von mehr als 2800 cm³: gebraucht</t>
  </si>
  <si>
    <t>KAPITEL 87 - ZUGMASCHINEN, KRAFTWAGEN, KRAFTRÄDER, FAHRRÄDER UND ANDERE NICHT SCHIENENGEBUNDENE LANDFAHRZEUGE, TEILE DAVON UND ZUBEHÖR: Kraftfahrzeuge für den Transport von Waren: andere, mit Kolbenverbrennungsmotor mit Fremdzündung: mit einem zulässigen Gesamtgewicht von 5 t oder weniger: andere: mit Motor mit einem Hubraum von mehr als 2800 cm³: gebraucht</t>
  </si>
  <si>
    <t>KAPITEL 87 - ZUGMASCHINEN, KRAFTWAGEN, KRAFTRÄDER, FAHRRÄDER UND ANDERE NICHT SCHIENENGEBUNDENE LANDFAHRZEUGE, TEILE DAVON UND ZUBEHÖR: Kraftfahrzeuge für den Transport von Waren: andere, ausschließlich mit Kolbenverbrennungsmotor mit Fremdzündung: mit einem zulässigen Gesamtgewicht von 5 t oder weniger: andere: mit Motor mit einem Hubraum von 2800 cm³ oder weniger: neu</t>
  </si>
  <si>
    <t>KAPITEL 87 - ZUGMASCHINEN, KRAFTWAGEN, KRAFTRÄDER, FAHRRÄDER UND ANDERE NICHT SCHIENENGEBUNDENE LANDFAHRZEUGE, TEILE DAVON UND ZUBEHÖR: Kraftfahrzeuge für den Transport von Waren: andere, mit Kolbenverbrennungsmotor mit Fremdzündung: mit einem zulässigen Gesamtgewicht von 5 t oder weniger: andere: mit Motor mit einem Hubraum von 2800 cm³ oder weniger: neu</t>
  </si>
  <si>
    <t>KAPITEL 87 - ZUGMASCHINEN, KRAFTWAGEN, KRAFTRÄDER, FAHRRÄDER UND ANDERE NICHT SCHIENENGEBUNDENE LANDFAHRZEUGE, TEILE DAVON UND ZUBEHÖR: Kraftfahrzeuge für den Transport von Waren: andere, ausschließlich mit Kolbenverbrennungsmotor mit Fremdzündung: mit einem zulässigen Gesamtgewicht von 5 t oder weniger: andere: mit Motor mit einem Hubraum von 2800 cm³ oder weniger: gebraucht</t>
  </si>
  <si>
    <t>KAPITEL 87 - ZUGMASCHINEN, KRAFTWAGEN, KRAFTRÄDER, FAHRRÄDER UND ANDERE NICHT SCHIENENGEBUNDENE LANDFAHRZEUGE, TEILE DAVON UND ZUBEHÖR: Kraftfahrzeuge für den Transport von Waren: andere, mit Kolbenverbrennungsmotor mit Fremdzündung: mit einem zulässigen Gesamtgewicht von 5 t oder weniger: andere: mit Motor mit einem Hubraum von 2800 cm³ oder weniger: gebraucht</t>
  </si>
  <si>
    <t>KAPITEL 87 - ZUGMASCHINEN, KRAFTWAGEN, KRAFTRÄDER, FAHRRÄDER UND ANDERE NICHT SCHIENENGEBUNDENE LANDFAHRZEUGE, TEILE DAVON UND ZUBEHÖR: Kraftfahrzeuge für den Transport von Waren: andere, ausschließlich mit Kolbenverbrennungsmotor mit Fremdzündung: mit einem zulässigen Gesamtgewicht von mehr als 5 t: ihrer Beschaffenheit nach zum Befördern von Waren mit starker Radioaktivität besonders bestimmt (Euratom)</t>
  </si>
  <si>
    <t>KAPITEL 87 - ZUGMASCHINEN, KRAFTWAGEN, KRAFTRÄDER, FAHRRÄDER UND ANDERE NICHT SCHIENENGEBUNDENE LANDFAHRZEUGE, TEILE DAVON UND ZUBEHÖR: Kraftfahrzeuge für den Transport von Waren: andere, mit Kolbenverbrennungsmotor mit Fremdzündung: mit einem zulässigen Gesamtgewicht von mehr als 5 t: ihrer Beschaffenheit nach zum Befördern von Waren mit starker Radioaktivität besonders bestimmt (Euratom)</t>
  </si>
  <si>
    <t>KAPITEL 87 - ZUGMASCHINEN, KRAFTWAGEN, KRAFTRÄDER, FAHRRÄDER UND ANDERE NICHT SCHIENENGEBUNDENE LANDFAHRZEUGE, TEILE DAVON UND ZUBEHÖR: Kraftfahrzeuge für den Transport von Waren: andere, ausschließlich mit Kolbenverbrennungsmotor mit Fremdzündung: mit einem zulässigen Gesamtgewicht von mehr als 5 t: andere: neu</t>
  </si>
  <si>
    <t>KAPITEL 87 - ZUGMASCHINEN, KRAFTWAGEN, KRAFTRÄDER, FAHRRÄDER UND ANDERE NICHT SCHIENENGEBUNDENE LANDFAHRZEUGE, TEILE DAVON UND ZUBEHÖR: Kraftfahrzeuge für den Transport von Waren: andere, mit Kolbenverbrennungsmotor mit Fremdzündung: mit einem zulässigen Gesamtgewicht von mehr als 5 t: andere: neu</t>
  </si>
  <si>
    <t>KAPITEL 87 - ZUGMASCHINEN, KRAFTWAGEN, KRAFTRÄDER, FAHRRÄDER UND ANDERE NICHT SCHIENENGEBUNDENE LANDFAHRZEUGE, TEILE DAVON UND ZUBEHÖR: Kraftfahrzeuge für den Transport von Waren: andere, ausschließlich mit Kolbenverbrennungsmotor mit Fremdzündung: mit einem zulässigen Gesamtgewicht von mehr als 5 t: andere: gebraucht</t>
  </si>
  <si>
    <t>KAPITEL 87 - ZUGMASCHINEN, KRAFTWAGEN, KRAFTRÄDER, FAHRRÄDER UND ANDERE NICHT SCHIENENGEBUNDENE LANDFAHRZEUGE, TEILE DAVON UND ZUBEHÖR: Kraftfahrzeuge für den Transport von Waren: andere, mit Kolbenverbrennungsmotor mit Fremdzündung: mit einem zulässigen Gesamtgewicht von mehr als 5 t: andere: gebraucht</t>
  </si>
  <si>
    <t>mit Kolbenverbrennungsmotor mit einem Hubraum von 50 cm³ oder weniger</t>
  </si>
  <si>
    <t>mit Hubkolbenverbrennungsmotor mit einem Hubraum von 50 cm³ oder weniger</t>
  </si>
  <si>
    <t>KAPITEL 87 - ZUGMASCHINEN, KRAFTWAGEN, KRAFTRÄDER, FAHRRÄDER UND ANDERE NICHT SCHIENENGEBUNDENE LANDFAHRZEUGE, TEILE DAVON UND ZUBEHÖR: Krafträder (einschließlich Mopeds) und Fahrräder mit Hilfsmotor, auch mit Beiwagen; Beiwagen: mit Kolbenverbrennungsmotor mit einem Hubraum von 50 cm³ oder weniger</t>
  </si>
  <si>
    <t>KAPITEL 87 - ZUGMASCHINEN, KRAFTWAGEN, KRAFTRÄDER, FAHRRÄDER UND ANDERE NICHT SCHIENENGEBUNDENE LANDFAHRZEUGE, TEILE DAVON UND ZUBEHÖR: Krafträder (einschließlich Mopeds) und Fahrräder mit Hilfsmotor, auch mit Beiwagen; Beiwagen: mit Hubkolbenverbrennungsmotor mit einem Hubraum von 50 cm³ oder weniger</t>
  </si>
  <si>
    <t>Motorroller</t>
  </si>
  <si>
    <t>KAPITEL 87 - ZUGMASCHINEN, KRAFTWAGEN, KRAFTRÄDER, FAHRRÄDER UND ANDERE NICHT SCHIENENGEBUNDENE LANDFAHRZEUGE, TEILE DAVON UND ZUBEHÖR: Krafträder (einschließlich Mopeds) und Fahrräder mit Hilfsmotor, auch mit Beiwagen; Beiwagen: mit Kolbenverbrennungsmotor mit einem Hubraum von mehr als 50 cm³ bis 250 cm³: Motorroller</t>
  </si>
  <si>
    <t>KAPITEL 87 - ZUGMASCHINEN, KRAFTWAGEN, KRAFTRÄDER, FAHRRÄDER UND ANDERE NICHT SCHIENENGEBUNDENE LANDFAHRZEUGE, TEILE DAVON UND ZUBEHÖR: Krafträder (einschließlich Mopeds) und Fahrräder mit Hilfsmotor, auch mit Beiwagen; Beiwagen: mit Hubkolbenverbrennungsmotor mit einem Hubraum von mehr als 50 cm³ bis 250 cm³: Motorroller</t>
  </si>
  <si>
    <t>mehr als 50 cm³ bis 125 cm³</t>
  </si>
  <si>
    <t>KAPITEL 87 - ZUGMASCHINEN, KRAFTWAGEN, KRAFTRÄDER, FAHRRÄDER UND ANDERE NICHT SCHIENENGEBUNDENE LANDFAHRZEUGE, TEILE DAVON UND ZUBEHÖR: Krafträder (einschließlich Mopeds) und Fahrräder mit Hilfsmotor, auch mit Beiwagen; Beiwagen: mit Kolbenverbrennungsmotor mit einem Hubraum von mehr als 50 cm³ bis 250 cm³: andere, mit einem Hubraum von: mehr als 50 cm³ bis 125 cm³</t>
  </si>
  <si>
    <t>KAPITEL 87 - ZUGMASCHINEN, KRAFTWAGEN, KRAFTRÄDER, FAHRRÄDER UND ANDERE NICHT SCHIENENGEBUNDENE LANDFAHRZEUGE, TEILE DAVON UND ZUBEHÖR: Krafträder (einschließlich Mopeds) und Fahrräder mit Hilfsmotor, auch mit Beiwagen; Beiwagen: mit Hubkolbenverbrennungsmotor mit einem Hubraum von mehr als 50 cm³ bis 250 cm³: andere, mit einem Hubraum von: mehr als 50 cm³ bis 125 cm³</t>
  </si>
  <si>
    <t>mehr als 125 cm³ bis 250 cm³</t>
  </si>
  <si>
    <t>KAPITEL 87 - ZUGMASCHINEN, KRAFTWAGEN, KRAFTRÄDER, FAHRRÄDER UND ANDERE NICHT SCHIENENGEBUNDENE LANDFAHRZEUGE, TEILE DAVON UND ZUBEHÖR: Krafträder (einschließlich Mopeds) und Fahrräder mit Hilfsmotor, auch mit Beiwagen; Beiwagen: mit Kolbenverbrennungsmotor mit einem Hubraum von mehr als 50 cm³ bis 250 cm³: andere, mit einem Hubraum von: mehr als 125 cm³ bis 250 cm³</t>
  </si>
  <si>
    <t>KAPITEL 87 - ZUGMASCHINEN, KRAFTWAGEN, KRAFTRÄDER, FAHRRÄDER UND ANDERE NICHT SCHIENENGEBUNDENE LANDFAHRZEUGE, TEILE DAVON UND ZUBEHÖR: Krafträder (einschließlich Mopeds) und Fahrräder mit Hilfsmotor, auch mit Beiwagen; Beiwagen: mit Hubkolbenverbrennungsmotor mit einem Hubraum von mehr als 50 cm³ bis 250 cm³: andere, mit einem Hubraum von: mehr als 125 cm³ bis 250 cm³</t>
  </si>
  <si>
    <t>mit einem Hubraum von mehr als 250 cm³ bis 380 cm³</t>
  </si>
  <si>
    <t>KAPITEL 87 - ZUGMASCHINEN, KRAFTWAGEN, KRAFTRÄDER, FAHRRÄDER UND ANDERE NICHT SCHIENENGEBUNDENE LANDFAHRZEUGE, TEILE DAVON UND ZUBEHÖR: Krafträder (einschließlich Mopeds) und Fahrräder mit Hilfsmotor, auch mit Beiwagen; Beiwagen: mit Kolbenverbrennungsmotor mit einem Hubraum von mehr als 250 cm³ bis 500 cm³: mit einem Hubraum von mehr als 250 cm³ bis 380 cm³</t>
  </si>
  <si>
    <t>KAPITEL 87 - ZUGMASCHINEN, KRAFTWAGEN, KRAFTRÄDER, FAHRRÄDER UND ANDERE NICHT SCHIENENGEBUNDENE LANDFAHRZEUGE, TEILE DAVON UND ZUBEHÖR: Krafträder (einschließlich Mopeds) und Fahrräder mit Hilfsmotor, auch mit Beiwagen; Beiwagen: mit Hubkolbenverbrennungsmotor mit einem Hubraum von mehr als 250 cm³ bis 500 cm³: mit einem Hubraum von mehr als 250 cm³ bis 380 cm³</t>
  </si>
  <si>
    <t>mit einem Hubraum von mehr als 380 cm³ bis 500 cm³</t>
  </si>
  <si>
    <t>KAPITEL 87 - ZUGMASCHINEN, KRAFTWAGEN, KRAFTRÄDER, FAHRRÄDER UND ANDERE NICHT SCHIENENGEBUNDENE LANDFAHRZEUGE, TEILE DAVON UND ZUBEHÖR: Krafträder (einschließlich Mopeds) und Fahrräder mit Hilfsmotor, auch mit Beiwagen; Beiwagen: mit Kolbenverbrennungsmotor mit einem Hubraum von mehr als 250 cm³ bis 500 cm³: mit einem Hubraum von mehr als 380 cm³ bis 500 cm³</t>
  </si>
  <si>
    <t>KAPITEL 87 - ZUGMASCHINEN, KRAFTWAGEN, KRAFTRÄDER, FAHRRÄDER UND ANDERE NICHT SCHIENENGEBUNDENE LANDFAHRZEUGE, TEILE DAVON UND ZUBEHÖR: Krafträder (einschließlich Mopeds) und Fahrräder mit Hilfsmotor, auch mit Beiwagen; Beiwagen: mit Hubkolbenverbrennungsmotor mit einem Hubraum von mehr als 250 cm³ bis 500 cm³: mit einem Hubraum von mehr als 380 cm³ bis 500 cm³</t>
  </si>
  <si>
    <t>mit Kolbenverbrennungsmotor mit einem Hubraum von mehr als 500 cm³ bis 800 cm³</t>
  </si>
  <si>
    <t>mit Hubkolbenverbrennungsmotor mit einem Hubraum von mehr als 500 cm³ bis 800 cm³</t>
  </si>
  <si>
    <t>KAPITEL 87 - ZUGMASCHINEN, KRAFTWAGEN, KRAFTRÄDER, FAHRRÄDER UND ANDERE NICHT SCHIENENGEBUNDENE LANDFAHRZEUGE, TEILE DAVON UND ZUBEHÖR: Krafträder (einschließlich Mopeds) und Fahrräder mit Hilfsmotor, auch mit Beiwagen; Beiwagen: mit Kolbenverbrennungsmotor mit einem Hubraum von mehr als 500 cm³ bis 800 cm³</t>
  </si>
  <si>
    <t>KAPITEL 87 - ZUGMASCHINEN, KRAFTWAGEN, KRAFTRÄDER, FAHRRÄDER UND ANDERE NICHT SCHIENENGEBUNDENE LANDFAHRZEUGE, TEILE DAVON UND ZUBEHÖR: Krafträder (einschließlich Mopeds) und Fahrräder mit Hilfsmotor, auch mit Beiwagen; Beiwagen: mit Hubkolbenverbrennungsmotor mit einem Hubraum von mehr als 500 cm³ bis 800 cm³</t>
  </si>
  <si>
    <t>mit Kolbenverbrennungsmotor mit einem Hubraum von mehr als 800 cm³</t>
  </si>
  <si>
    <t>mit Hubkolbenverbrennungsmotor mit einem Hubraum von mehr als 800 cm³</t>
  </si>
  <si>
    <t>KAPITEL 87 - ZUGMASCHINEN, KRAFTWAGEN, KRAFTRÄDER, FAHRRÄDER UND ANDERE NICHT SCHIENENGEBUNDENE LANDFAHRZEUGE, TEILE DAVON UND ZUBEHÖR: Krafträder (einschließlich Mopeds) und Fahrräder mit Hilfsmotor, auch mit Beiwagen; Beiwagen: mit Kolbenverbrennungsmotor mit einem Hubraum von mehr als 800 cm³</t>
  </si>
  <si>
    <t>KAPITEL 87 - ZUGMASCHINEN, KRAFTWAGEN, KRAFTRÄDER, FAHRRÄDER UND ANDERE NICHT SCHIENENGEBUNDENE LANDFAHRZEUGE, TEILE DAVON UND ZUBEHÖR: Krafträder (einschließlich Mopeds) und Fahrräder mit Hilfsmotor, auch mit Beiwagen; Beiwagen: mit Hubkolbenverbrennungsmotor mit einem Hubraum von mehr als 800 cm³</t>
  </si>
  <si>
    <t>mit einem Leergewicht von 2000 kg oder weniger</t>
  </si>
  <si>
    <t>KAPITEL 88 - LUFTFAHRZEUGE UND RAUMFAHRZEUGE, TEILE DAVON: Andere Luftfahrzeuge (z. B. Hubschrauber und Starrflügelflugzeuge), ausgenommen unbemannte Luftfahrzeuge der Position 8806; Raumfahrzeuge (einschließlich Satelliten) und Trägerraketen für Raumfahrzeuge sowie Suborbitalfahrzeuge: Hubschrauber: mit einem Leergewicht von 2000 kg oder weniger</t>
  </si>
  <si>
    <t>KAPITEL 88 - LUFTFAHRZEUGE UND RAUMFAHRZEUGE, TEILE DAVON: Andere Luftfahrzeuge (z. B. Hubschrauber und Starrflügelflugzeuge); Raumfahrzeuge (einschließlich Satelliten) und Trägerraketen für Raumfahrzeuge sowie Suborbitalfahrzeuge: Hubschrauber: mit einem Leergewicht von 2000 kg oder weniger</t>
  </si>
  <si>
    <t>mit einem Leergewicht von mehr als 2000 kg</t>
  </si>
  <si>
    <t>KAPITEL 88 - LUFTFAHRZEUGE UND RAUMFAHRZEUGE, TEILE DAVON: Andere Luftfahrzeuge (z. B. Hubschrauber und Starrflügelflugzeuge), ausgenommen unbemannte Luftfahrzeuge der Position 8806; Raumfahrzeuge (einschließlich Satelliten) und Trägerraketen für Raumfahrzeuge sowie Suborbitalfahrzeuge: Hubschrauber: mit einem Leergewicht von mehr als 2000 kg</t>
  </si>
  <si>
    <t>KAPITEL 88 - LUFTFAHRZEUGE UND RAUMFAHRZEUGE, TEILE DAVON: Andere Luftfahrzeuge (z. B. Hubschrauber und Starrflügelflugzeuge); Raumfahrzeuge (einschließlich Satelliten) und Trägerraketen für Raumfahrzeuge sowie Suborbitalfahrzeuge: Hubschrauber: mit einem Leergewicht von mehr als 2000 kg</t>
  </si>
  <si>
    <t>Starrflügelflugzeuge und andere Luftfahrzeuge, mit einem Leergewicht von 2000 kg oder weniger</t>
  </si>
  <si>
    <t>KAPITEL 88 - LUFTFAHRZEUGE UND RAUMFAHRZEUGE, TEILE DAVON: Andere Luftfahrzeuge (z. B. Hubschrauber und Starrflügelflugzeuge), ausgenommen unbemannte Luftfahrzeuge der Position 8806; Raumfahrzeuge (einschließlich Satelliten) und Trägerraketen für Raumfahrzeuge sowie Suborbitalfahrzeuge: Starrflügelflugzeuge und andere Luftfahrzeuge, mit einem Leergewicht von 2000 kg oder weniger</t>
  </si>
  <si>
    <t>KAPITEL 88 - LUFTFAHRZEUGE UND RAUMFAHRZEUGE, TEILE DAVON: Andere Luftfahrzeuge (z. B. Hubschrauber und Starrflügelflugzeuge); Raumfahrzeuge (einschließlich Satelliten) und Trägerraketen für Raumfahrzeuge sowie Suborbitalfahrzeuge: Starrflügelflugzeuge und andere Luftfahrzeuge, mit einem Leergewicht von 2000 kg oder weniger</t>
  </si>
  <si>
    <t>Starrflügelflugzeuge und andere Luftfahrzeuge, mit einem Leergewicht von mehr als 2000 kg bis 15000 kg</t>
  </si>
  <si>
    <t>KAPITEL 88 - LUFTFAHRZEUGE UND RAUMFAHRZEUGE, TEILE DAVON: Andere Luftfahrzeuge (z. B. Hubschrauber und Starrflügelflugzeuge), ausgenommen unbemannte Luftfahrzeuge der Position 8806; Raumfahrzeuge (einschließlich Satelliten) und Trägerraketen für Raumfahrzeuge sowie Suborbitalfahrzeuge: Starrflügelflugzeuge und andere Luftfahrzeuge, mit einem Leergewicht von mehr als 2000 kg bis 15000 kg</t>
  </si>
  <si>
    <t>KAPITEL 88 - LUFTFAHRZEUGE UND RAUMFAHRZEUGE, TEILE DAVON: Andere Luftfahrzeuge (z. B. Hubschrauber und Starrflügelflugzeuge); Raumfahrzeuge (einschließlich Satelliten) und Trägerraketen für Raumfahrzeuge sowie Suborbitalfahrzeuge: Starrflügelflugzeuge und andere Luftfahrzeuge, mit einem Leergewicht von mehr als 2000 kg bis 15000 kg</t>
  </si>
  <si>
    <t>Starrflügelflugzeuge und andere Luftfahrzeuge, mit einem Leergewicht von mehr als 15000 kg</t>
  </si>
  <si>
    <t>KAPITEL 88 - LUFTFAHRZEUGE UND RAUMFAHRZEUGE, TEILE DAVON: Andere Luftfahrzeuge (z. B. Hubschrauber und Starrflügelflugzeuge), ausgenommen unbemannte Luftfahrzeuge der Position 8806; Raumfahrzeuge (einschließlich Satelliten) und Trägerraketen für Raumfahrzeuge sowie Suborbitalfahrzeuge: Starrflügelflugzeuge und andere Luftfahrzeuge, mit einem Leergewicht von mehr als 15000 kg</t>
  </si>
  <si>
    <t>KAPITEL 88 - LUFTFAHRZEUGE UND RAUMFAHRZEUGE, TEILE DAVON: Andere Luftfahrzeuge (z. B. Hubschrauber und Starrflügelflugzeuge); Raumfahrzeuge (einschließlich Satelliten) und Trägerraketen für Raumfahrzeuge sowie Suborbitalfahrzeuge: Starrflügelflugzeuge und andere Luftfahrzeuge, mit einem Leergewicht von mehr als 15000 kg</t>
  </si>
  <si>
    <t>Telekommunikationssatelliten</t>
  </si>
  <si>
    <t>KAPITEL 88 - LUFTFAHRZEUGE UND RAUMFAHRZEUGE, TEILE DAVON: Andere Luftfahrzeuge (z. B. Hubschrauber und Starrflügelflugzeuge), ausgenommen unbemannte Luftfahrzeuge der Position 8806; Raumfahrzeuge (einschließlich Satelliten) und Trägerraketen für Raumfahrzeuge sowie Suborbitalfahrzeuge: Raumfahrzeuge (einschließlich Satelliten) und Trägerraketen für Raumfahrzeuge sowie Suborbitalfahrzeuge: Raumfahrzeuge (einschließlich Satelliten): Telekommunikationssatelliten</t>
  </si>
  <si>
    <t>KAPITEL 88 - LUFTFAHRZEUGE UND RAUMFAHRZEUGE, TEILE DAVON: Andere Luftfahrzeuge (z. B. Hubschrauber und Starrflügelflugzeuge); Raumfahrzeuge (einschließlich Satelliten) und Trägerraketen für Raumfahrzeuge sowie Suborbitalfahrzeuge: Raumfahrzeuge (einschließlich Satelliten) und Trägerraketen für Raumfahrzeuge sowie Suborbitalfahrzeuge: Raumfahrzeuge (einschließlich Satelliten): Telekommunikationssatelliten</t>
  </si>
  <si>
    <t>KAPITEL 88 - LUFTFAHRZEUGE UND RAUMFAHRZEUGE, TEILE DAVON: Andere Luftfahrzeuge (z. B. Hubschrauber und Starrflügelflugzeuge), ausgenommen unbemannte Luftfahrzeuge der Position 8806; Raumfahrzeuge (einschließlich Satelliten) und Trägerraketen für Raumfahrzeuge sowie Suborbitalfahrzeuge: Raumfahrzeuge (einschließlich Satelliten) und Trägerraketen für Raumfahrzeuge sowie Suborbitalfahrzeuge: Raumfahrzeuge (einschließlich Satelliten): andere</t>
  </si>
  <si>
    <t>KAPITEL 88 - LUFTFAHRZEUGE UND RAUMFAHRZEUGE, TEILE DAVON: Andere Luftfahrzeuge (z. B. Hubschrauber und Starrflügelflugzeuge); Raumfahrzeuge (einschließlich Satelliten) und Trägerraketen für Raumfahrzeuge sowie Suborbitalfahrzeuge: Raumfahrzeuge (einschließlich Satelliten) und Trägerraketen für Raumfahrzeuge sowie Suborbitalfahrzeuge: Raumfahrzeuge (einschließlich Satelliten): andere</t>
  </si>
  <si>
    <t>Trägerraketen für Raumfahrzeuge sowie Suborbitalfahrzeuge</t>
  </si>
  <si>
    <t>KAPITEL 88 - LUFTFAHRZEUGE UND RAUMFAHRZEUGE, TEILE DAVON: Andere Luftfahrzeuge (z. B. Hubschrauber und Starrflügelflugzeuge), ausgenommen unbemannte Luftfahrzeuge der Position 8806; Raumfahrzeuge (einschließlich Satelliten) und Trägerraketen für Raumfahrzeuge sowie Suborbitalfahrzeuge: Raumfahrzeuge (einschließlich Satelliten) und Trägerraketen für Raumfahrzeuge sowie Suborbitalfahrzeuge: Trägerraketen für Raumfahrzeuge sowie Suborbitalfahrzeuge</t>
  </si>
  <si>
    <t>KAPITEL 88 - LUFTFAHRZEUGE UND RAUMFAHRZEUGE, TEILE DAVON: Andere Luftfahrzeuge (z. B. Hubschrauber und Starrflügelflugzeuge); Raumfahrzeuge (einschließlich Satelliten) und Trägerraketen für Raumfahrzeuge sowie Suborbitalfahrzeuge: Raumfahrzeuge (einschließlich Satelliten) und Trägerraketen für Raumfahrzeuge sowie Suborbitalfahrzeuge: Trägerraketen für Raumfahrzeuge sowie Suborbitalfahrzeuge</t>
  </si>
  <si>
    <t>mit einer Länge von mehr als 7,5 m</t>
  </si>
  <si>
    <t>KAPITEL 89 - WASSERFAHRZEUGE UND SCHWIMMENDE VORRICHTUNGEN: Jachten und andere Vergnügungs- oder Sportboote; Ruderboote und Kanus: andere: andere: andere</t>
  </si>
  <si>
    <t>KAPITEL 89 - WASSERFAHRZEUGE UND SCHWIMMENDE VORRICHTUNGEN: Jachten und andere Vergnügungs- oder Sportboote; Ruderboote und Kanus: andere: andere: andere: mit einer Länge von mehr als 7,5 m</t>
  </si>
  <si>
    <t>Wegwerffotoapparate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</si>
  <si>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Fotoapparate; Blitzlichtgeräte und -vorrichtungen für fotografische Zwecke sowie Fotoblitzlampen (ausgenommen Entladungslampen der Position 8539): andere Fotoapparate: für Filme in Rollen mit einer Breite von 35 mm: Wegwerffotoapparate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</si>
  <si>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Fotoapparate; Blitzlichtgeräte und -vorrichtungen für fotografische Zwecke sowie Fotoblitzlampen (ausgenommen Entladungslampen der Position 8539): andere Fotoapparate: andere, für Filme in Rollen mit einer Breite von 35 mm: Wegwerffotoapparate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</si>
  <si>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Fotoapparate; Blitzlichtgeräte und -vorrichtungen für fotografische Zwecke sowie Fotoblitzlampen (ausgenommen Entladungslampen der Position 8539): andere Fotoapparate: für Filme in Rollen mit einer Breite von 35 mm: andere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</si>
  <si>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Fotoapparate; Blitzlichtgeräte und -vorrichtungen für fotografische Zwecke sowie Fotoblitzlampen (ausgenommen Entladungslampen der Position 8539): andere Fotoapparate: andere, für Filme in Rollen mit einer Breite von 35 mm: andere</t>
  </si>
  <si>
    <t>Fernrohre für Maschinen, Apparate, Geräte oder Instrumente des Kapitels 90 oder des Abschnitts XVI</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</si>
  <si>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Laser, ausgenommen Laserdioden; andere in diesem Kapitel anderweit weder genannte noch inbegriffene optische Instrumente, Apparate und Geräte: Zielfernrohre für Waffen; Periskope; Fernrohre für Maschinen, Apparate, Geräte oder Instrumente des Kapitels 90 oder des Abschnitts XVI: Fernrohre für Maschinen, Apparate, Geräte oder Instrumente des Kapitels 90 oder des Abschnitts XVI</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</si>
  <si>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Flüssigkristallvorrichtungen, die anderweit als Waren nicht genauer erfasst sind; Laser, ausgenommen Laserdioden; andere in diesem Kapitel anderweit weder genannte noch inbegriffene optische Instrumente, Apparate und Geräte: Zielfernrohre für Waffen; Periskope; Fernrohre für Maschinen, Apparate, Geräte oder Instrumente des Kapitels 90 oder des Abschnitts XVI: Fernrohre für Maschinen, Apparate, Geräte oder Instrumente des Kapitels 90 oder des Abschnitts XVI</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</si>
  <si>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Laser, ausgenommen Laserdioden; andere in diesem Kapitel anderweit weder genannte noch inbegriffene optische Instrumente, Apparate und Geräte: Zielfernrohre für Waffen; Periskope; Fernrohre für Maschinen, Apparate, Geräte oder Instrumente des Kapitels 90 oder des Abschnitts XVI: andere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</si>
  <si>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Flüssigkristallvorrichtungen, die anderweit als Waren nicht genauer erfasst sind; Laser, ausgenommen Laserdioden; andere in diesem Kapitel anderweit weder genannte noch inbegriffene optische Instrumente, Apparate und Geräte: Zielfernrohre für Waffen; Periskope; Fernrohre für Maschinen, Apparate, Geräte oder Instrumente des Kapitels 90 oder des Abschnitts XVI: andere</t>
  </si>
  <si>
    <t>Laser, ausgenommen Laserdioden</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</si>
  <si>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Laser, ausgenommen Laserdioden; andere in diesem Kapitel anderweit weder genannte noch inbegriffene optische Instrumente, Apparate und Geräte: Laser, ausgenommen Laserdioden</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</si>
  <si>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Flüssigkristallvorrichtungen, die anderweit als Waren nicht genauer erfasst sind; Laser, ausgenommen Laserdioden; andere in diesem Kapitel anderweit weder genannte noch inbegriffene optische Instrumente, Apparate und Geräte: Laser, ausgenommen Laserdioden</t>
  </si>
  <si>
    <t>für Zielfernrohre für Waffen oder für Periskope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</si>
  <si>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Laser, ausgenommen Laserdioden; andere in diesem Kapitel anderweit weder genannte noch inbegriffene optische Instrumente, Apparate und Geräte: Teile und Zubehör: für Zielfernrohre für Waffen oder für Periskope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</si>
  <si>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Flüssigkristallvorrichtungen, die anderweit als Waren nicht genauer erfasst sind; Laser, ausgenommen Laserdioden; andere in diesem Kapitel anderweit weder genannte noch inbegriffene optische Instrumente, Apparate und Geräte: Teile und Zubehör: für Zielfernrohre für Waffen oder für Periskope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</si>
  <si>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Laser, ausgenommen Laserdioden; andere in diesem Kapitel anderweit weder genannte noch inbegriffene optische Instrumente, Apparate und Geräte: Teile und Zubehör: andere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</si>
  <si>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Flüssigkristallvorrichtungen, die anderweit als Waren nicht genauer erfasst sind; Laser, ausgenommen Laserdioden; andere in diesem Kapitel anderweit weder genannte noch inbegriffene optische Instrumente, Apparate und Geräte: Teile und Zubehör: andere</t>
  </si>
  <si>
    <t>Apparate für die Computertomografie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</si>
  <si>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Gamma- oder andere ionisierende 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Röntgenapparate und -geräte, auch für medizinische, chirurgische, zahnärztliche oder tierärztliche Zwecke, einschließlich Apparate und Geräte für Schirmbildfotografie oder Strahlentherapie: Apparate für die Computertomografie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</si>
  <si>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oder Gammastrahlen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Röntgenapparate und -geräte, auch für medizinische, chirurgische, zahnärztliche oder tierärztliche Zwecke, einschließlich Apparate und Geräte für Schirmbildfotografie oder Strahlentherapie: Apparate für die Computertomografie</t>
  </si>
  <si>
    <t>andere, für zahnärztliche Zwecke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</si>
  <si>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Gamma- oder andere ionisierende 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Röntgenapparate und -geräte, auch für medizinische, chirurgische, zahnärztliche oder tierärztliche Zwecke, einschließlich Apparate und Geräte für Schirmbildfotografie oder Strahlentherapie: andere, für zahnärztliche Zwecke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</si>
  <si>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oder Gammastrahlen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Röntgenapparate und -geräte, auch für medizinische, chirurgische, zahnärztliche oder tierärztliche Zwecke, einschließlich Apparate und Geräte für Schirmbildfotografie oder Strahlentherapie: andere, für zahnärztliche Zwecke</t>
  </si>
  <si>
    <t>andere, für medizinische, chirurgische oder tierärztliche Zwecke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</si>
  <si>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Gamma- oder andere ionisierende 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Röntgenapparate und -geräte, auch für medizinische, chirurgische, zahnärztliche oder tierärztliche Zwecke, einschließlich Apparate und Geräte für Schirmbildfotografie oder Strahlentherapie: andere, für medizinische, chirurgische oder tierärztliche Zwecke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</si>
  <si>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oder Gammastrahlen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Röntgenapparate und -geräte, auch für medizinische, chirurgische, zahnärztliche oder tierärztliche Zwecke, einschließlich Apparate und Geräte für Schirmbildfotografie oder Strahlentherapie: andere, für medizinische, chirurgische oder tierärztliche Zwecke</t>
  </si>
  <si>
    <t>für andere Zwecke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</si>
  <si>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Gamma- oder andere ionisierende 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Röntgenapparate und -geräte, auch für medizinische, chirurgische, zahnärztliche oder tierärztliche Zwecke, einschließlich Apparate und Geräte für Schirmbildfotografie oder Strahlentherapie: für andere Zwecke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</si>
  <si>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oder Gammastrahlen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Röntgenapparate und -geräte, auch für medizinische, chirurgische, zahnärztliche oder tierärztliche Zwecke, einschließlich Apparate und Geräte für Schirmbildfotografie oder Strahlentherapie: für andere Zwecke</t>
  </si>
  <si>
    <t>für medizinische, chirurgische, zahnärztliche oder tierärztliche Zwecke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</si>
  <si>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Gamma- oder andere ionisierende 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Apparate und Geräte, die Alpha-, Beta- Gamma- oder andere ionisierende Strahlen verwenden, auch für medizinische, chirurgische, zahnärztliche oder tierärztliche Zwecke, einschließlich Apparate und Geräte für die Schirmbildfotografie oder Strahlentherapie: für medizinische, chirurgische, zahnärztliche oder tierärztliche Zwecke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</si>
  <si>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oder Gammastrahlen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Apparate und Geräte, die Alpha-, Beta- oder Gammastrahlen verwenden, auch für medizinische, chirurgische, zahnärztliche oder tierärztliche Zwecke, einschließlich Apparate und Geräte für die Schirmbildfotografie oder Strahlentherapie: für medizinische, chirurgische, zahnärztliche oder tierärztliche Zwecke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</si>
  <si>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Gamma- oder andere ionisierende 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Apparate und Geräte, die Alpha-, Beta- Gamma- oder andere ionisierende Strahlen verwenden, auch für medizinische, chirurgische, zahnärztliche oder tierärztliche Zwecke, einschließlich Apparate und Geräte für die Schirmbildfotografie oder Strahlentherapie: für andere Zwecke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</si>
  <si>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oder Gammastrahlen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Apparate und Geräte, die Alpha-, Beta- oder Gammastrahlen verwenden, auch für medizinische, chirurgische, zahnärztliche oder tierärztliche Zwecke, einschließlich Apparate und Geräte für die Schirmbildfotografie oder Strahlentherapie: für andere Zwecke</t>
  </si>
  <si>
    <t>Röntgenröhren</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</si>
  <si>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Gamma- oder andere ionisierende 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Röntgenröhren</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</si>
  <si>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oder Gammastrahlen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Röntgenröhren</t>
  </si>
  <si>
    <t>Teile und Zubehör für Röntgenapparate und -geräte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</si>
  <si>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Gamma- oder andere ionisierende 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andere, einschließlich Teile und Zubehör: Teile und Zubehör für Röntgenapparate und -geräte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</si>
  <si>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oder Gammastrahlen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andere, einschließlich Teile und Zubehör: Teile und Zubehör für Röntgenapparate und -geräte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</si>
  <si>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Gamma- oder andere ionisierende 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andere, einschließlich Teile und Zubehör: andere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</si>
  <si>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Röntgenapparate und -geräte und Apparate und Geräte, die Alpha-, Beta- oder Gammastrahlen verwenden, auch für medizinische, chirurgische, zahnärztliche oder tierärztliche Zwecke, einschließlich Apparate und Geräte für Schirmbildfotografie oder Strahlentherapie, Röntgenröhren und andere Vorrichtungen zum Erzeugen von Röntgenstrahlen, Hochspannungsgeneratoren, Schaltpulte, Durchleuchtungsschirme, Untersuchungs- und Behandlungstische, -sessel und dergleichen: andere, einschließlich Teile und Zubehör: andere</t>
  </si>
  <si>
    <t>Multimeter, ohne Registriervorrichtung</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</si>
  <si>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Oszilloskope, Spektralanalysatoren und andere Instrumente, Apparate und Geräte zum Messen oder Prüfen elektrischer Größen, ausgenommen Zähler der Position 9028; Instrumente, Apparate und Geräte zum Messen oder zum Nachweis von Alpha-, Beta-, Gamma-, Röntgenstrahlen, kosmischen oder anderen ionisierenden Strahlen: andere Instrumente, Apparate und Geräte zum Messen oder Prüfen von Spannung, Stromstärke, Widerstand oder Leistung (ausgenommen solche zum Messen oder Prüfen von Halbleiterscheiben (wafers) oder Halbleiterbauelementen): Multimeter, ohne Registriervorrichtung</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</si>
  <si>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Oszilloskope, Spektralanalysatoren und andere Instrumente, Apparate und Geräte zum Messen oder Prüfen elektrischer Größen, ausgenommen Zähler der Position 9028; Instrumente, Apparate und Geräte zum Messen oder zum Nachweis von Alpha-, Beta-, Gamma-, Röntgenstrahlen, kosmischen oder anderen ionisierenden Strahlen: andere Instrumente, Apparate und Geräte zum Messen oder Prüfen von Spannung, Stromstärke, Widerstand oder Leistung: Multimeter, ohne Registriervorrichtung</t>
  </si>
  <si>
    <t>Multimeter, mit Registriervorrichtung</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</si>
  <si>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Oszilloskope, Spektralanalysatoren und andere Instrumente, Apparate und Geräte zum Messen oder Prüfen elektrischer Größen, ausgenommen Zähler der Position 9028; Instrumente, Apparate und Geräte zum Messen oder zum Nachweis von Alpha-, Beta-, Gamma-, Röntgenstrahlen, kosmischen oder anderen ionisierenden Strahlen: andere Instrumente, Apparate und Geräte zum Messen oder Prüfen von Spannung, Stromstärke, Widerstand oder Leistung (ausgenommen solche zum Messen oder Prüfen von Halbleiterscheiben (wafers) oder Halbleiterbauelementen): Multimeter, mit Registriervorrichtung</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</si>
  <si>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Oszilloskope, Spektralanalysatoren und andere Instrumente, Apparate und Geräte zum Messen oder Prüfen elektrischer Größen, ausgenommen Zähler der Position 9028; Instrumente, Apparate und Geräte zum Messen oder zum Nachweis von Alpha-, Beta-, Gamma-, Röntgenstrahlen, kosmischen oder anderen ionisierenden Strahlen: andere Instrumente, Apparate und Geräte zum Messen oder Prüfen von Spannung, Stromstärke, Widerstand oder Leistung: Multimeter, mit Registriervorrichtung</t>
  </si>
  <si>
    <t>Instrumente zur Widerstandsmessung</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</si>
  <si>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Oszilloskope, Spektralanalysatoren und andere Instrumente, Apparate und Geräte zum Messen oder Prüfen elektrischer Größen, ausgenommen Zähler der Position 9028; Instrumente, Apparate und Geräte zum Messen oder zum Nachweis von Alpha-, Beta-, Gamma-, Röntgenstrahlen, kosmischen oder anderen ionisierenden Strahlen: andere Instrumente, Apparate und Geräte zum Messen oder Prüfen von Spannung, Stromstärke, Widerstand oder Leistung (ausgenommen solche zum Messen oder Prüfen von Halbleiterscheiben (wafers) oder Halbleiterbauelementen): andere, ohne Registriervorrichtung: Instrumente zur Widerstandsmessung</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</si>
  <si>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Oszilloskope, Spektralanalysatoren und andere Instrumente, Apparate und Geräte zum Messen oder Prüfen elektrischer Größen, ausgenommen Zähler der Position 9028; Instrumente, Apparate und Geräte zum Messen oder zum Nachweis von Alpha-, Beta-, Gamma-, Röntgenstrahlen, kosmischen oder anderen ionisierenden Strahlen: andere Instrumente, Apparate und Geräte zum Messen oder Prüfen von Spannung, Stromstärke, Widerstand oder Leistung: andere, ohne Registriervorrichtung: Instrumente zur Widerstandsmessung</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</si>
  <si>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Oszilloskope, Spektralanalysatoren und andere Instrumente, Apparate und Geräte zum Messen oder Prüfen elektrischer Größen, ausgenommen Zähler der Position 9028; Instrumente, Apparate und Geräte zum Messen oder zum Nachweis von Alpha-, Beta-, Gamma-, Röntgenstrahlen, kosmischen oder anderen ionisierenden Strahlen: andere Instrumente, Apparate und Geräte zum Messen oder Prüfen von Spannung, Stromstärke, Widerstand oder Leistung (ausgenommen solche zum Messen oder Prüfen von Halbleiterscheiben (wafers) oder Halbleiterbauelementen): andere, ohne Registriervorrichtung: andere</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</si>
  <si>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Oszilloskope, Spektralanalysatoren und andere Instrumente, Apparate und Geräte zum Messen oder Prüfen elektrischer Größen, ausgenommen Zähler der Position 9028; Instrumente, Apparate und Geräte zum Messen oder zum Nachweis von Alpha-, Beta-, Gamma-, Röntgenstrahlen, kosmischen oder anderen ionisierenden Strahlen: andere Instrumente, Apparate und Geräte zum Messen oder Prüfen von Spannung, Stromstärke, Widerstand oder Leistung: andere, ohne Registriervorrichtung: andere</t>
  </si>
  <si>
    <t>andere, mit Registriervorrichtung</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</si>
  <si>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Oszilloskope, Spektralanalysatoren und andere Instrumente, Apparate und Geräte zum Messen oder Prüfen elektrischer Größen, ausgenommen Zähler der Position 9028; Instrumente, Apparate und Geräte zum Messen oder zum Nachweis von Alpha-, Beta-, Gamma-, Röntgenstrahlen, kosmischen oder anderen ionisierenden Strahlen: andere Instrumente, Apparate und Geräte zum Messen oder Prüfen von Spannung, Stromstärke, Widerstand oder Leistung (ausgenommen solche zum Messen oder Prüfen von Halbleiterscheiben (wafers) oder Halbleiterbauelementen): andere, mit Registriervorrichtung</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</si>
  <si>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Oszilloskope, Spektralanalysatoren und andere Instrumente, Apparate und Geräte zum Messen oder Prüfen elektrischer Größen, ausgenommen Zähler der Position 9028; Instrumente, Apparate und Geräte zum Messen oder zum Nachweis von Alpha-, Beta-, Gamma-, Röntgenstrahlen, kosmischen oder anderen ionisierenden Strahlen: andere Instrumente, Apparate und Geräte zum Messen oder Prüfen von Spannung, Stromstärke, Widerstand oder Leistung: andere, mit Registriervorrichtung</t>
  </si>
  <si>
    <t>zum Messen oder Prüfen von Halbleiterscheiben (wafers) oder Halbleiterbauelementen (einschließlich integrierter Schaltungen)</t>
  </si>
  <si>
    <t>zum Messen oder Prüfen von Halbleiterscheiben (wafers) oder Halbleiterbauelementen</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</si>
  <si>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Oszilloskope, Spektralanalysatoren und andere Instrumente, Apparate und Geräte zum Messen oder Prüfen elektrischer Größen, ausgenommen Zähler der Position 9028; Instrumente, Apparate und Geräte zum Messen oder zum Nachweis von Alpha-, Beta-, Gamma-, Röntgenstrahlen, kosmischen oder anderen ionisierenden Strahlen: andere Instrumente, Apparate und Geräte: zum Messen oder Prüfen von Halbleiterscheiben (wafers) oder Halbleiterbauelementen (einschließlich integrierter Schaltungen)</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</si>
  <si>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Oszilloskope, Spektralanalysatoren und andere Instrumente, Apparate und Geräte zum Messen oder Prüfen elektrischer Größen, ausgenommen Zähler der Position 9028; Instrumente, Apparate und Geräte zum Messen oder zum Nachweis von Alpha-, Beta-, Gamma-, Röntgenstrahlen, kosmischen oder anderen ionisierenden Strahlen: andere Instrumente, Apparate und Geräte: zum Messen oder Prüfen von Halbleiterscheiben (wafers) oder Halbleiterbauelementen</t>
  </si>
  <si>
    <t>zum Prüfen von Halbleiterscheiben (wafers) oder Halbleiterbauelementen (einschließlich integrierter Schaltungen) oder zum Prüfen von Fotomasken und Reticles für die Herstellung von Halbleiterbauelementen (einschließlich integrierter Schaltungen)</t>
  </si>
  <si>
    <t>zum Prüfen von Halbleiterscheiben (wafers) oder Halbleiterbauelementen oder zum Prüfen von Fotomasken und Reticles für die Herstellung von Halbleiterbauelementen</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</si>
  <si>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Instrumente, Apparate, Geräte und Maschinen zum Messen oder Prüfen, in diesem Kapitel anderweit weder genannt noch inbegriffen; Profilprojektoren: andere optische Instrumente, Apparate und Geräte: zum Prüfen von Halbleiterscheiben (wafers) oder Halbleiterbauelementen (einschließlich integrierter Schaltungen) oder zum Prüfen von Fotomasken und Reticles für die Herstellung von Halbleiterbauelementen (einschließlich integrierter Schaltungen)</t>
  </si>
  <si>
    <t>KAPITEL 90 - OPTISCHE, FOTOGRAFISCHE ODER KINEMATOGRAFISCHE INSTRUMENTE, APPARATE UND GERÄTE; MESS-, PRÜF- ODER PRÄZISIONSINSTRUMENTE, -APPARATE UND -GERÄTE; MEDIZINISCHE UND CHIRURGISCHE INSTRUMENTE, APPARATE UND GERÄTE; TEILE UND ZUBEHÖR FÜR DIESE INSTRUMENTE, APPARATE UND GERÄTE: Instrumente, Apparate, Geräte und Maschinen zum Messen oder Prüfen, in diesem Kapitel anderweit weder genannt noch inbegriffen; Profilprojektoren: andere optische Instrumente, Apparate und Geräte: zum Prüfen von Halbleiterscheiben (wafers) oder Halbleiterbauelementen oder zum Prüfen von Fotomasken und Reticles für die Herstellung von Halbleiterbauelementen</t>
  </si>
  <si>
    <t>Sitze von der für Luftfahrzeuge verwendeten Art</t>
  </si>
  <si>
    <t>KAPITEL 94 - MÖBEL; MEDIZINISCH-CHIRURGISCHE MÖBEL; BETTAUSSTATTUNGEN UND ÄHNLICHE WAREN; LEUCHTEN UND BELEUCHTUNGSKÖRPER, ANDERWEIT WEDER GENANNT NOCH INBEGRIFFEN; REKLAMELEUCHTEN, LEUCHTSCHILDER, BELEUCHTETE NAMENSSCHILDER UND DERGLEICHEN; VORGEFERTIGTE GEBÄUDE: Sitzmöbel (ausgenommen solche der Position 9402), auch wenn sie in Liegen umgewandelt werden können, und Teile davon: Sitze von der für Luftfahrzeuge verwendeten Art</t>
  </si>
  <si>
    <t>KAPITEL 94 - MÖBEL; MEDIZINISCH-CHIRURGISCHE MÖBEL; BETTAUSSTATTUNGEN UND ÄHNLICHE WAREN; BELEUCHTUNGSKÖRPER, ANDERWEIT WEDER GENANNT NOCH INBEGRIFFEN; REKLAMELEUCHTEN, LEUCHTSCHILDER, BELEUCHTETE NAMENSSCHILDER UND DERGLEICHEN; VORGEFERTIGTE GEBÄUDE: Sitzmöbel (ausgenommen solche der Position 9402), auch wenn sie in Liegen umgewandelt werden können, und Teile davon: Sitze von der für Luftfahrzeuge verwendeten Art</t>
  </si>
  <si>
    <t>Sitze von der für Kraftfahrzeuge verwendeten Art</t>
  </si>
  <si>
    <t>KAPITEL 94 - MÖBEL; MEDIZINISCH-CHIRURGISCHE MÖBEL; BETTAUSSTATTUNGEN UND ÄHNLICHE WAREN; LEUCHTEN UND BELEUCHTUNGSKÖRPER, ANDERWEIT WEDER GENANNT NOCH INBEGRIFFEN; REKLAMELEUCHTEN, LEUCHTSCHILDER, BELEUCHTETE NAMENSSCHILDER UND DERGLEICHEN; VORGEFERTIGTE GEBÄUDE: Sitzmöbel (ausgenommen solche der Position 9402), auch wenn sie in Liegen umgewandelt werden können, und Teile davon: Sitze von der für Kraftfahrzeuge verwendeten Art</t>
  </si>
  <si>
    <t>KAPITEL 94 - MÖBEL; MEDIZINISCH-CHIRURGISCHE MÖBEL; BETTAUSSTATTUNGEN UND ÄHNLICHE WAREN; BELEUCHTUNGSKÖRPER, ANDERWEIT WEDER GENANNT NOCH INBEGRIFFEN; REKLAMELEUCHTEN, LEUCHTSCHILDER, BELEUCHTETE NAMENSSCHILDER UND DERGLEICHEN; VORGEFERTIGTE GEBÄUDE: Sitzmöbel (ausgenommen solche der Position 9402), auch wenn sie in Liegen umgewandelt werden können, und Teile davon: Sitze von der für Kraftfahrzeuge verwendeten Art</t>
  </si>
  <si>
    <t>aus Bambus</t>
  </si>
  <si>
    <t>KAPITEL 94 - MÖBEL; MEDIZINISCH-CHIRURGISCHE MÖBEL; BETTAUSSTATTUNGEN UND ÄHNLICHE WAREN; LEUCHTEN UND BELEUCHTUNGSKÖRPER, ANDERWEIT WEDER GENANNT NOCH INBEGRIFFEN; REKLAMELEUCHTEN, LEUCHTSCHILDER, BELEUCHTETE NAMENSSCHILDER UND DERGLEICHEN; VORGEFERTIGTE GEBÄUDE: Sitzmöbel (ausgenommen solche der Position 9402), auch wenn sie in Liegen umgewandelt werden können, und Teile davon: Sitzmöbel aus Stuhlrohr, Korbweiden/Flechtweiden, Bambus oder ähnlichen Stoffen: aus Bambus</t>
  </si>
  <si>
    <t>KAPITEL 94 - MÖBEL; MEDIZINISCH-CHIRURGISCHE MÖBEL; BETTAUSSTATTUNGEN UND ÄHNLICHE WAREN; BELEUCHTUNGSKÖRPER, ANDERWEIT WEDER GENANNT NOCH INBEGRIFFEN; REKLAMELEUCHTEN, LEUCHTSCHILDER, BELEUCHTETE NAMENSSCHILDER UND DERGLEICHEN; VORGEFERTIGTE GEBÄUDE: Sitzmöbel (ausgenommen solche der Position 9402), auch wenn sie in Liegen umgewandelt werden können, und Teile davon: Sitzmöbel aus Stuhlrohr, Korbweiden/Flechtweiden, Bambus oder ähnlichen Stoffen: aus Bambus</t>
  </si>
  <si>
    <t>aus Rattan</t>
  </si>
  <si>
    <t>KAPITEL 94 - MÖBEL; MEDIZINISCH-CHIRURGISCHE MÖBEL; BETTAUSSTATTUNGEN UND ÄHNLICHE WAREN; LEUCHTEN UND BELEUCHTUNGSKÖRPER, ANDERWEIT WEDER GENANNT NOCH INBEGRIFFEN; REKLAMELEUCHTEN, LEUCHTSCHILDER, BELEUCHTETE NAMENSSCHILDER UND DERGLEICHEN; VORGEFERTIGTE GEBÄUDE: Sitzmöbel (ausgenommen solche der Position 9402), auch wenn sie in Liegen umgewandelt werden können, und Teile davon: Sitzmöbel aus Stuhlrohr, Korbweiden/Flechtweiden, Bambus oder ähnlichen Stoffen: aus Rattan</t>
  </si>
  <si>
    <t>KAPITEL 94 - MÖBEL; MEDIZINISCH-CHIRURGISCHE MÖBEL; BETTAUSSTATTUNGEN UND ÄHNLICHE WAREN; BELEUCHTUNGSKÖRPER, ANDERWEIT WEDER GENANNT NOCH INBEGRIFFEN; REKLAMELEUCHTEN, LEUCHTSCHILDER, BELEUCHTETE NAMENSSCHILDER UND DERGLEICHEN; VORGEFERTIGTE GEBÄUDE: Sitzmöbel (ausgenommen solche der Position 9402), auch wenn sie in Liegen umgewandelt werden können, und Teile davon: Sitzmöbel aus Stuhlrohr, Korbweiden/Flechtweiden, Bambus oder ähnlichen Stoffen: aus Rattan</t>
  </si>
  <si>
    <t>KAPITEL 94 - MÖBEL; MEDIZINISCH-CHIRURGISCHE MÖBEL; BETTAUSSTATTUNGEN UND ÄHNLICHE WAREN; LEUCHTEN UND BELEUCHTUNGSKÖRPER, ANDERWEIT WEDER GENANNT NOCH INBEGRIFFEN; REKLAMELEUCHTEN, LEUCHTSCHILDER, BELEUCHTETE NAMENSSCHILDER UND DERGLEICHEN; VORGEFERTIGTE GEBÄUDE: Sitzmöbel (ausgenommen solche der Position 9402), auch wenn sie in Liegen umgewandelt werden können, und Teile davon: Sitzmöbel aus Stuhlrohr, Korbweiden/Flechtweiden, Bambus oder ähnlichen Stoffen: andere</t>
  </si>
  <si>
    <t>KAPITEL 94 - MÖBEL; MEDIZINISCH-CHIRURGISCHE MÖBEL; BETTAUSSTATTUNGEN UND ÄHNLICHE WAREN; BELEUCHTUNGSKÖRPER, ANDERWEIT WEDER GENANNT NOCH INBEGRIFFEN; REKLAMELEUCHTEN, LEUCHTSCHILDER, BELEUCHTETE NAMENSSCHILDER UND DERGLEICHEN; VORGEFERTIGTE GEBÄUDE: Sitzmöbel (ausgenommen solche der Position 9402), auch wenn sie in Liegen umgewandelt werden können, und Teile davon: Sitzmöbel aus Stuhlrohr, Korbweiden/Flechtweiden, Bambus oder ähnlichen Stoffen: andere</t>
  </si>
  <si>
    <t>gepolstert</t>
  </si>
  <si>
    <t>KAPITEL 94 - MÖBEL; MEDIZINISCH-CHIRURGISCHE MÖBEL; BETTAUSSTATTUNGEN UND ÄHNLICHE WAREN; LEUCHTEN UND BELEUCHTUNGSKÖRPER, ANDERWEIT WEDER GENANNT NOCH INBEGRIFFEN; REKLAMELEUCHTEN, LEUCHTSCHILDER, BELEUCHTETE NAMENSSCHILDER UND DERGLEICHEN; VORGEFERTIGTE GEBÄUDE: Sitzmöbel (ausgenommen solche der Position 9402), auch wenn sie in Liegen umgewandelt werden können, und Teile davon: andere Sitzmöbel, mit Gestell aus Holz: gepolstert</t>
  </si>
  <si>
    <t>KAPITEL 94 - MÖBEL; MEDIZINISCH-CHIRURGISCHE MÖBEL; BETTAUSSTATTUNGEN UND ÄHNLICHE WAREN; BELEUCHTUNGSKÖRPER, ANDERWEIT WEDER GENANNT NOCH INBEGRIFFEN; REKLAMELEUCHTEN, LEUCHTSCHILDER, BELEUCHTETE NAMENSSCHILDER UND DERGLEICHEN; VORGEFERTIGTE GEBÄUDE: Sitzmöbel (ausgenommen solche der Position 9402), auch wenn sie in Liegen umgewandelt werden können, und Teile davon: andere Sitzmöbel, mit Gestell aus Holz: gepolstert</t>
  </si>
  <si>
    <t>KAPITEL 94 - MÖBEL; MEDIZINISCH-CHIRURGISCHE MÖBEL; BETTAUSSTATTUNGEN UND ÄHNLICHE WAREN; LEUCHTEN UND BELEUCHTUNGSKÖRPER, ANDERWEIT WEDER GENANNT NOCH INBEGRIFFEN; REKLAMELEUCHTEN, LEUCHTSCHILDER, BELEUCHTETE NAMENSSCHILDER UND DERGLEICHEN; VORGEFERTIGTE GEBÄUDE: Sitzmöbel (ausgenommen solche der Position 9402), auch wenn sie in Liegen umgewandelt werden können, und Teile davon: andere Sitzmöbel, mit Gestell aus Holz: andere</t>
  </si>
  <si>
    <t>KAPITEL 94 - MÖBEL; MEDIZINISCH-CHIRURGISCHE MÖBEL; BETTAUSSTATTUNGEN UND ÄHNLICHE WAREN; BELEUCHTUNGSKÖRPER, ANDERWEIT WEDER GENANNT NOCH INBEGRIFFEN; REKLAMELEUCHTEN, LEUCHTSCHILDER, BELEUCHTETE NAMENSSCHILDER UND DERGLEICHEN; VORGEFERTIGTE GEBÄUDE: Sitzmöbel (ausgenommen solche der Position 9402), auch wenn sie in Liegen umgewandelt werden können, und Teile davon: andere Sitzmöbel, mit Gestell aus Holz: andere</t>
  </si>
  <si>
    <t>KAPITEL 94 - MÖBEL; MEDIZINISCH-CHIRURGISCHE MÖBEL; BETTAUSSTATTUNGEN UND ÄHNLICHE WAREN; LEUCHTEN UND BELEUCHTUNGSKÖRPER, ANDERWEIT WEDER GENANNT NOCH INBEGRIFFEN; REKLAMELEUCHTEN, LEUCHTSCHILDER, BELEUCHTETE NAMENSSCHILDER UND DERGLEICHEN; VORGEFERTIGTE GEBÄUDE: Sitzmöbel (ausgenommen solche der Position 9402), auch wenn sie in Liegen umgewandelt werden können, und Teile davon: andere Sitzmöbel, mit Gestell aus Metall: gepolstert</t>
  </si>
  <si>
    <t>KAPITEL 94 - MÖBEL; MEDIZINISCH-CHIRURGISCHE MÖBEL; BETTAUSSTATTUNGEN UND ÄHNLICHE WAREN; BELEUCHTUNGSKÖRPER, ANDERWEIT WEDER GENANNT NOCH INBEGRIFFEN; REKLAMELEUCHTEN, LEUCHTSCHILDER, BELEUCHTETE NAMENSSCHILDER UND DERGLEICHEN; VORGEFERTIGTE GEBÄUDE: Sitzmöbel (ausgenommen solche der Position 9402), auch wenn sie in Liegen umgewandelt werden können, und Teile davon: andere Sitzmöbel, mit Gestell aus Metall: gepolstert</t>
  </si>
  <si>
    <t>KAPITEL 94 - MÖBEL; MEDIZINISCH-CHIRURGISCHE MÖBEL; BETTAUSSTATTUNGEN UND ÄHNLICHE WAREN; LEUCHTEN UND BELEUCHTUNGSKÖRPER, ANDERWEIT WEDER GENANNT NOCH INBEGRIFFEN; REKLAMELEUCHTEN, LEUCHTSCHILDER, BELEUCHTETE NAMENSSCHILDER UND DERGLEICHEN; VORGEFERTIGTE GEBÄUDE: Sitzmöbel (ausgenommen solche der Position 9402), auch wenn sie in Liegen umgewandelt werden können, und Teile davon: andere Sitzmöbel, mit Gestell aus Metall: andere</t>
  </si>
  <si>
    <t>KAPITEL 94 - MÖBEL; MEDIZINISCH-CHIRURGISCHE MÖBEL; BETTAUSSTATTUNGEN UND ÄHNLICHE WAREN; BELEUCHTUNGSKÖRPER, ANDERWEIT WEDER GENANNT NOCH INBEGRIFFEN; REKLAMELEUCHTEN, LEUCHTSCHILDER, BELEUCHTETE NAMENSSCHILDER UND DERGLEICHEN; VORGEFERTIGTE GEBÄUDE: Sitzmöbel (ausgenommen solche der Position 9402), auch wenn sie in Liegen umgewandelt werden können, und Teile davon: andere Sitzmöbel, mit Gestell aus Metall: andere</t>
  </si>
  <si>
    <t>andere Sitzmöbel</t>
  </si>
  <si>
    <t>KAPITEL 94 - MÖBEL; MEDIZINISCH-CHIRURGISCHE MÖBEL; BETTAUSSTATTUNGEN UND ÄHNLICHE WAREN; LEUCHTEN UND BELEUCHTUNGSKÖRPER, ANDERWEIT WEDER GENANNT NOCH INBEGRIFFEN; REKLAMELEUCHTEN, LEUCHTSCHILDER, BELEUCHTETE NAMENSSCHILDER UND DERGLEICHEN; VORGEFERTIGTE GEBÄUDE: Sitzmöbel (ausgenommen solche der Position 9402), auch wenn sie in Liegen umgewandelt werden können, und Teile davon: andere Sitzmöbel</t>
  </si>
  <si>
    <t>KAPITEL 94 - MÖBEL; MEDIZINISCH-CHIRURGISCHE MÖBEL; BETTAUSSTATTUNGEN UND ÄHNLICHE WAREN; BELEUCHTUNGSKÖRPER, ANDERWEIT WEDER GENANNT NOCH INBEGRIFFEN; REKLAMELEUCHTEN, LEUCHTSCHILDER, BELEUCHTETE NAMENSSCHILDER UND DERGLEICHEN; VORGEFERTIGTE GEBÄUDE: Sitzmöbel (ausgenommen solche der Position 9402), auch wenn sie in Liegen umgewandelt werden können, und Teile davon: andere Sitzmöbel</t>
  </si>
  <si>
    <t>Dentalstühle, Friseurstühle oder ähnliche Stühle und Teile davon</t>
  </si>
  <si>
    <t>KAPITEL 94 - MÖBEL; MEDIZINISCH-CHIRURGISCHE MÖBEL; BETTAUSSTATTUNGEN UND ÄHNLICHE WAREN; LEUCHTEN UND BELEUCHTUNGSKÖRPER, ANDERWEIT WEDER GENANNT NOCH INBEGRIFFEN; REKLAMELEUCHTEN, LEUCHTSCHILDER, BELEUCHTETE NAMENSSCHILDER UND DERGLEICHEN; VORGEFERTIGTE GEBÄUDE: Möbel für die Human-, Zahn-, Tiermedizin oder die Chirurgie (z. B. Operationstische, Untersuchungstische, Betten mit mechanischen Vorrichtungen für Krankenanstalten, Dentalstühle); Friseurstühle und ähnliche Stühle, mit Schwenk-, Kipp- und Hebevorrichtung; Teile davon: Dentalstühle, Friseurstühle oder ähnliche Stühle und Teile davon</t>
  </si>
  <si>
    <t>KAPITEL 94 - MÖBEL; MEDIZINISCH-CHIRURGISCHE MÖBEL; BETTAUSSTATTUNGEN UND ÄHNLICHE WAREN; BELEUCHTUNGSKÖRPER, ANDERWEIT WEDER GENANNT NOCH INBEGRIFFEN; REKLAMELEUCHTEN, LEUCHTSCHILDER, BELEUCHTETE NAMENSSCHILDER UND DERGLEICHEN; VORGEFERTIGTE GEBÄUDE: Möbel für die Human-, Zahn-, Tiermedizin oder die Chirurgie (z. B. Operationstische, Untersuchungstische, Betten mit mechanischen Vorrichtungen für Krankenanstalten, Dentalstühle); Friseurstühle und ähnliche Stühle, mit Schwenk-, Kipp- und Hebevorrichtung; Teile davon: Dentalstühle, Friseurstühle oder ähnliche Stühle und Teile davon</t>
  </si>
  <si>
    <t>KAPITEL 94 - MÖBEL; MEDIZINISCH-CHIRURGISCHE MÖBEL; BETTAUSSTATTUNGEN UND ÄHNLICHE WAREN; LEUCHTEN UND BELEUCHTUNGSKÖRPER, ANDERWEIT WEDER GENANNT NOCH INBEGRIFFEN; REKLAMELEUCHTEN, LEUCHTSCHILDER, BELEUCHTETE NAMENSSCHILDER UND DERGLEICHEN; VORGEFERTIGTE GEBÄUDE: Möbel für die Human-, Zahn-, Tiermedizin oder die Chirurgie (z. B. Operationstische, Untersuchungstische, Betten mit mechanischen Vorrichtungen für Krankenanstalten, Dentalstühle); Friseurstühle und ähnliche Stühle, mit Schwenk-, Kipp- und Hebevorrichtung; Teile davon: andere</t>
  </si>
  <si>
    <t>KAPITEL 94 - MÖBEL; MEDIZINISCH-CHIRURGISCHE MÖBEL; BETTAUSSTATTUNGEN UND ÄHNLICHE WAREN; BELEUCHTUNGSKÖRPER, ANDERWEIT WEDER GENANNT NOCH INBEGRIFFEN; REKLAMELEUCHTEN, LEUCHTSCHILDER, BELEUCHTETE NAMENSSCHILDER UND DERGLEICHEN; VORGEFERTIGTE GEBÄUDE: Möbel für die Human-, Zahn-, Tiermedizin oder die Chirurgie (z. B. Operationstische, Untersuchungstische, Betten mit mechanischen Vorrichtungen für Krankenanstalten, Dentalstühle); Friseurstühle und ähnliche Stühle, mit Schwenk-, Kipp- und Hebevorrichtung; Teile davon: andere</t>
  </si>
  <si>
    <t>Schreibtische</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</si>
  <si>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Metallmöbel von der in Büros verwendeten Art: mit einer Höhe von 80 cm oder weniger: Schreibtische</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</si>
  <si>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Metallmöbel von der in Büros verwendeten Art: mit einer Höhe von 80 cm oder weniger: Schreibtische</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</si>
  <si>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Metallmöbel von der in Büros verwendeten Art: mit einer Höhe von 80 cm oder weniger: andere</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</si>
  <si>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Metallmöbel von der in Büros verwendeten Art: mit einer Höhe von 80 cm oder weniger: andere</t>
  </si>
  <si>
    <t>Schränke mit Türen oder Rollläden</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</si>
  <si>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Metallmöbel von der in Büros verwendeten Art: mit einer Höhe von mehr als 80 cm: Schränke mit Türen oder Rollläden</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</si>
  <si>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Metallmöbel von der in Büros verwendeten Art: mit einer Höhe von mehr als 80 cm: Schränke mit Türen oder Rollläden</t>
  </si>
  <si>
    <t>Karteischränke und andere Schränke mit Schubladen</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</si>
  <si>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Metallmöbel von der in Büros verwendeten Art: mit einer Höhe von mehr als 80 cm: Karteischränke und andere Schränke mit Schubladen</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</si>
  <si>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Metallmöbel von der in Büros verwendeten Art: mit einer Höhe von mehr als 80 cm: Karteischränke und andere Schränke mit Schubladen</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</si>
  <si>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Metallmöbel von der in Büros verwendeten Art: mit einer Höhe von mehr als 80 cm: andere</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</si>
  <si>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Metallmöbel von der in Büros verwendeten Art: mit einer Höhe von mehr als 80 cm: andere</t>
  </si>
  <si>
    <t>Betten</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</si>
  <si>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andere Metallmöbel: Betten</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</si>
  <si>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andere Metallmöbel: Betten</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</si>
  <si>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andere Metallmöbel: andere</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</si>
  <si>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andere Metallmöbel: andere</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</si>
  <si>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Holzmöbel von der in Büros verwendeten Art: mit einer Höhe von 80 cm oder weniger: Schreibtische</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</si>
  <si>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Holzmöbel von der in Büros verwendeten Art: mit einer Höhe von 80 cm oder weniger: Schreibtische</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</si>
  <si>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Holzmöbel von der in Büros verwendeten Art: mit einer Höhe von 80 cm oder weniger: andere</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</si>
  <si>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Holzmöbel von der in Büros verwendeten Art: mit einer Höhe von 80 cm oder weniger: andere</t>
  </si>
  <si>
    <t>Schränke</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</si>
  <si>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Holzmöbel von der in Büros verwendeten Art: mit einer Höhe von mehr als 80 cm: Schränke</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</si>
  <si>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Holzmöbel von der in Büros verwendeten Art: mit einer Höhe von mehr als 80 cm: Schränke</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</si>
  <si>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Holzmöbel von der in Büros verwendeten Art: mit einer Höhe von mehr als 80 cm: andere</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</si>
  <si>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Holzmöbel von der in Büros verwendeten Art: mit einer Höhe von mehr als 80 cm: andere</t>
  </si>
  <si>
    <t>Einbauküchenelemente</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</si>
  <si>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Holzmöbel von der in der Küche verwendeten Art: Einbauküchenelemente</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</si>
  <si>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Holzmöbel von der in der Küche verwendeten Art: Einbauküchenelemente</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</si>
  <si>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Holzmöbel von der in der Küche verwendeten Art: andere</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</si>
  <si>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Holzmöbel von der in der Küche verwendeten Art: andere</t>
  </si>
  <si>
    <t>Holzmöbel von der im Schlafzimmer verwendeten Art</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</si>
  <si>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Holzmöbel von der im Schlafzimmer verwendeten Art</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</si>
  <si>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Holzmöbel von der im Schlafzimmer verwendeten Art</t>
  </si>
  <si>
    <t>Holzmöbel von der in Ess- und Wohnzimmern verwendeten Art</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</si>
  <si>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andere Holzmöbel: Holzmöbel von der in Ess- und Wohnzimmern verwendeten Art</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</si>
  <si>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andere Holzmöbel: Holzmöbel von der in Ess- und Wohnzimmern verwendeten Art</t>
  </si>
  <si>
    <t>Holzmöbel von der in Läden verwendeten Art</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</si>
  <si>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andere Holzmöbel: Holzmöbel von der in Läden verwendeten Art</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</si>
  <si>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andere Holzmöbel: Holzmöbel von der in Läden verwendeten Art</t>
  </si>
  <si>
    <t>andere Holzmöbel</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</si>
  <si>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andere Holzmöbel: andere Holzmöbel</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</si>
  <si>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andere Holzmöbel: andere Holzmöbel</t>
  </si>
  <si>
    <t>Kunststoffmöbel</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</si>
  <si>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Kunststoffmöbel</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</si>
  <si>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Kunststoffmöbel</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</si>
  <si>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Möbel aus anderen Stoffen, einschließlich Stuhlrohr, Korbweide/Flechtweide, Bambus oder ähnliche Stoffe: aus Bambus</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</si>
  <si>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Möbel aus anderen Stoffen, einschließlich Stuhlrohr, Korbweide/Flechtweide, Bambus oder ähnliche Stoffe: aus Bambus</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</si>
  <si>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Möbel aus anderen Stoffen, einschließlich Stuhlrohr, Korbweide/Flechtweide, Bambus oder ähnliche Stoffe: aus Rattan</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</si>
  <si>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Möbel aus anderen Stoffen, einschließlich Stuhlrohr, Korbweide/Flechtweide, Bambus oder ähnliche Stoffe: aus Rattan</t>
  </si>
  <si>
    <t>KAPITEL 94 - MÖBEL; MEDIZINISCH-CHIRURGISCHE MÖBEL; BETTAUSSTATTUNGEN UND ÄHNLICHE WAREN; LEUCHTEN UND BELEUCHTUNGSKÖRPER, ANDERWEIT WEDER GENANNT NOCH INBEGRIFFEN; REKLAMELEUCHTEN, LEUCHTSCHILDER, BELEUCHTETE NAMENSSCHILDER UND DERGLEICHEN; VORGEFERTIGTE GEBÄUDE: Andere Möbel und Teile davon: Möbel aus anderen Stoffen, einschließlich Stuhlrohr, Korbweide/Flechtweide, Bambus oder ähnliche Stoffe: andere</t>
  </si>
  <si>
    <t>KAPITEL 94 - MÖBEL; MEDIZINISCH-CHIRURGISCHE MÖBEL; BETTAUSSTATTUNGEN UND ÄHNLICHE WAREN; BELEUCHTUNGSKÖRPER, ANDERWEIT WEDER GENANNT NOCH INBEGRIFFEN; REKLAMELEUCHTEN, LEUCHTSCHILDER, BELEUCHTETE NAMENSSCHILDER UND DERGLEICHEN; VORGEFERTIGTE GEBÄUDE: Andere Möbel und Teile davon: Möbel aus anderen Stoffen, einschließlich Stuhlrohr, Korbweide/Flechtweide, Bambus oder ähnliche Stoffe: andere</t>
  </si>
  <si>
    <t>Sprungrahmen</t>
  </si>
  <si>
    <t>KAPITEL 94 - MÖBEL; MEDIZINISCH-CHIRURGISCHE MÖBEL; BETTAUSSTATTUNGEN UND ÄHNLICHE WAREN; LEUCHTEN UND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Sprungrahmen</t>
  </si>
  <si>
    <t>KAPITEL 94 - MÖBEL; MEDIZINISCH-CHIRURGISCHE MÖBEL; BETTAUSSTATTUNGEN UND ÄHNLICHE WAREN;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Sprungrahmen</t>
  </si>
  <si>
    <t>aus Zellkautschuk</t>
  </si>
  <si>
    <t>KAPITEL 94 - MÖBEL; MEDIZINISCH-CHIRURGISCHE MÖBEL; BETTAUSSTATTUNGEN UND ÄHNLICHE WAREN; LEUCHTEN UND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Auflegematratzen: aus Zellkautschuk oder Zellkunststoff, auch überzogen: aus Zellkautschuk</t>
  </si>
  <si>
    <t>KAPITEL 94 - MÖBEL; MEDIZINISCH-CHIRURGISCHE MÖBEL; BETTAUSSTATTUNGEN UND ÄHNLICHE WAREN;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Auflegematratzen: aus Zellkautschuk oder Zellkunststoff, auch überzogen: aus Zellkautschuk</t>
  </si>
  <si>
    <t>aus Zellkunststoff</t>
  </si>
  <si>
    <t>KAPITEL 94 - MÖBEL; MEDIZINISCH-CHIRURGISCHE MÖBEL; BETTAUSSTATTUNGEN UND ÄHNLICHE WAREN; LEUCHTEN UND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Auflegematratzen: aus Zellkautschuk oder Zellkunststoff, auch überzogen: aus Zellkunststoff</t>
  </si>
  <si>
    <t>KAPITEL 94 - MÖBEL; MEDIZINISCH-CHIRURGISCHE MÖBEL; BETTAUSSTATTUNGEN UND ÄHNLICHE WAREN;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Auflegematratzen: aus Zellkautschuk oder Zellkunststoff, auch überzogen: aus Zellkunststoff</t>
  </si>
  <si>
    <t>mit Federkern</t>
  </si>
  <si>
    <t>KAPITEL 94 - MÖBEL; MEDIZINISCH-CHIRURGISCHE MÖBEL; BETTAUSSTATTUNGEN UND ÄHNLICHE WAREN; LEUCHTEN UND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Auflegematratzen: aus anderen Stoffen: mit Federkern</t>
  </si>
  <si>
    <t>KAPITEL 94 - MÖBEL; MEDIZINISCH-CHIRURGISCHE MÖBEL; BETTAUSSTATTUNGEN UND ÄHNLICHE WAREN;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Auflegematratzen: aus anderen Stoffen: mit Federkern</t>
  </si>
  <si>
    <t>KAPITEL 94 - MÖBEL; MEDIZINISCH-CHIRURGISCHE MÖBEL; BETTAUSSTATTUNGEN UND ÄHNLICHE WAREN; LEUCHTEN UND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Auflegematratzen: aus anderen Stoffen: andere</t>
  </si>
  <si>
    <t>KAPITEL 94 - MÖBEL; MEDIZINISCH-CHIRURGISCHE MÖBEL; BETTAUSSTATTUNGEN UND ÄHNLICHE WAREN;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Auflegematratzen: aus anderen Stoffen: andere</t>
  </si>
  <si>
    <t>Schlafsäcke</t>
  </si>
  <si>
    <t>KAPITEL 94 - MÖBEL; MEDIZINISCH-CHIRURGISCHE MÖBEL; BETTAUSSTATTUNGEN UND ÄHNLICHE WAREN; LEUCHTEN UND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Schlafsäcke</t>
  </si>
  <si>
    <t>KAPITEL 94 - MÖBEL; MEDIZINISCH-CHIRURGISCHE MÖBEL; BETTAUSSTATTUNGEN UND ÄHNLICHE WAREN;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Schlafsäcke</t>
  </si>
  <si>
    <t>mit Federn oder Daunen gefüllt</t>
  </si>
  <si>
    <t>KAPITEL 94 - MÖBEL; MEDIZINISCH-CHIRURGISCHE MÖBEL; BETTAUSSTATTUNGEN UND ÄHNLICHE WAREN; LEUCHTEN UND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andere: mit Federn oder Daunen gefüllt</t>
  </si>
  <si>
    <t>KAPITEL 94 - MÖBEL; MEDIZINISCH-CHIRURGISCHE MÖBEL; BETTAUSSTATTUNGEN UND ÄHNLICHE WAREN;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andere: mit Federn oder Daunen gefüllt</t>
  </si>
  <si>
    <t>KAPITEL 94 - MÖBEL; MEDIZINISCH-CHIRURGISCHE MÖBEL; BETTAUSSTATTUNGEN UND ÄHNLICHE WAREN; LEUCHTEN UND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andere: andere</t>
  </si>
  <si>
    <t>KAPITEL 94 - MÖBEL; MEDIZINISCH-CHIRURGISCHE MÖBEL; BETTAUSSTATTUNGEN UND ÄHNLICHE WAREN; BELEUCHTUNGSKÖRPER, ANDERWEIT WEDER GENANNT NOCH INBEGRIFFEN; REKLAMELEUCHTEN, LEUCHTSCHILDER, BELEUCHTETE NAMENSSCHILDER UND DERGLEICHEN; VORGEFERTIGTE GEBÄUDE: Sprungrahmen; Bettausstattungen und ähnliche Waren (z. B. Auflegematratzen, Steppdecken, Deckbetten, Polster, Schlummerrollen und Kopfkissen) mit Federung oder gepolstert oder mit Füllung aus Stoffen aller Art oder aus Zellkautschuk oder Zellkunststoff, auch überzogen: andere: andere</t>
  </si>
  <si>
    <t>nicht elektrische Leuchten und Beleuchtungskörper</t>
  </si>
  <si>
    <t>nicht elektrische Beleuchtungskörper</t>
  </si>
  <si>
    <t>KAPITEL 94 - MÖBEL; MEDIZINISCH-CHIRURGISCHE MÖBEL; BETTAUSSTATTUNGEN UND ÄHNLICHE WAREN; LEUCHTEN UND BELEUCHTUNGSKÖRPER, ANDERWEIT WEDER GENANNT NOCH INBEGRIFFEN; REKLAMELEUCHTEN, LEUCHTSCHILDER, BELEUCHTETE NAMENSSCHILDER UND DERGLEICHEN; VORGEFERTIGTE GEBÄUDE: Leuchten und Beleuchtungskörper (einschließlich Scheinwerfer) und Teile davon, anderweit weder genannt noch inbegriffen; Reklameleuchten, Leuchtschilder, beleuchtete Namensschilder und dergleichen, mit fest angebrachter Lichtquelle, und Teile davon, anderweit weder genannt noch inbegriffen: nicht elektrische Leuchten und Beleuchtungskörper</t>
  </si>
  <si>
    <t>KAPITEL 94 - MÖBEL; MEDIZINISCH-CHIRURGISCHE MÖBEL; BETTAUSSTATTUNGEN UND ÄHNLICHE WAREN; BELEUCHTUNGSKÖRPER, ANDERWEIT WEDER GENANNT NOCH INBEGRIFFEN; REKLAMELEUCHTEN, LEUCHTSCHILDER, BELEUCHTETE NAMENSSCHILDER UND DERGLEICHEN; VORGEFERTIGTE GEBÄUDE: Beleuchtungskörper (einschließlich Scheinwerfer) und Teile davon, anderweit weder genannt noch inbegriffen; Reklameleuchten, Leuchtschilder, beleuchtete Namensschilder und dergleichen, mit fest angebrachter Lichtquelle, und Teile davon, anderweit weder genannt noch inbegriffen: nicht elektrische Beleuchtungskörper</t>
  </si>
  <si>
    <t>Waren zum Ausstatten von elektrischen Beleuchtungskörpern (ausgenommen Scheinwerfer)</t>
  </si>
  <si>
    <t>KAPITEL 94 - MÖBEL; MEDIZINISCH-CHIRURGISCHE MÖBEL; BETTAUSSTATTUNGEN UND ÄHNLICHE WAREN; LEUCHTEN UND BELEUCHTUNGSKÖRPER, ANDERWEIT WEDER GENANNT NOCH INBEGRIFFEN; REKLAMELEUCHTEN, LEUCHTSCHILDER, BELEUCHTETE NAMENSSCHILDER UND DERGLEICHEN; VORGEFERTIGTE GEBÄUDE: Leuchten und Beleuchtungskörper (einschließlich Scheinwerfer) und Teile davon, anderweit weder genannt noch inbegriffen; Reklameleuchten, Leuchtschilder, beleuchtete Namensschilder und dergleichen, mit fest angebrachter Lichtquelle, und Teile davon, anderweit weder genannt noch inbegriffen: Teile: aus Glas: Waren zum Ausstatten von elektrischen Beleuchtungskörpern (ausgenommen Scheinwerfer)</t>
  </si>
  <si>
    <t>KAPITEL 94 - MÖBEL; MEDIZINISCH-CHIRURGISCHE MÖBEL; BETTAUSSTATTUNGEN UND ÄHNLICHE WAREN; BELEUCHTUNGSKÖRPER, ANDERWEIT WEDER GENANNT NOCH INBEGRIFFEN; REKLAMELEUCHTEN, LEUCHTSCHILDER, BELEUCHTETE NAMENSSCHILDER UND DERGLEICHEN; VORGEFERTIGTE GEBÄUDE: Beleuchtungskörper (einschließlich Scheinwerfer) und Teile davon, anderweit weder genannt noch inbegriffen; Reklameleuchten, Leuchtschilder, beleuchtete Namensschilder und dergleichen, mit fest angebrachter Lichtquelle, und Teile davon, anderweit weder genannt noch inbegriffen: Teile: aus Glas: Waren zum Ausstatten von elektrischen Beleuchtungskörpern (ausgenommen Scheinwerfer)</t>
  </si>
  <si>
    <t>KAPITEL 94 - MÖBEL; MEDIZINISCH-CHIRURGISCHE MÖBEL; BETTAUSSTATTUNGEN UND ÄHNLICHE WAREN; LEUCHTEN UND BELEUCHTUNGSKÖRPER, ANDERWEIT WEDER GENANNT NOCH INBEGRIFFEN; REKLAMELEUCHTEN, LEUCHTSCHILDER, BELEUCHTETE NAMENSSCHILDER UND DERGLEICHEN; VORGEFERTIGTE GEBÄUDE: Leuchten und Beleuchtungskörper (einschließlich Scheinwerfer) und Teile davon, anderweit weder genannt noch inbegriffen; Reklameleuchten, Leuchtschilder, beleuchtete Namensschilder und dergleichen, mit fest angebrachter Lichtquelle, und Teile davon, anderweit weder genannt noch inbegriffen: Teile: aus Glas: andere</t>
  </si>
  <si>
    <t>KAPITEL 94 - MÖBEL; MEDIZINISCH-CHIRURGISCHE MÖBEL; BETTAUSSTATTUNGEN UND ÄHNLICHE WAREN; BELEUCHTUNGSKÖRPER, ANDERWEIT WEDER GENANNT NOCH INBEGRIFFEN; REKLAMELEUCHTEN, LEUCHTSCHILDER, BELEUCHTETE NAMENSSCHILDER UND DERGLEICHEN; VORGEFERTIGTE GEBÄUDE: Beleuchtungskörper (einschließlich Scheinwerfer) und Teile davon, anderweit weder genannt noch inbegriffen; Reklameleuchten, Leuchtschilder, beleuchtete Namensschilder und dergleichen, mit fest angebrachter Lichtquelle, und Teile davon, anderweit weder genannt noch inbegriffen: Teile: aus Glas: andere</t>
  </si>
  <si>
    <t>aus Kunststoffen</t>
  </si>
  <si>
    <t>KAPITEL 94 - MÖBEL; MEDIZINISCH-CHIRURGISCHE MÖBEL; BETTAUSSTATTUNGEN UND ÄHNLICHE WAREN; LEUCHTEN UND BELEUCHTUNGSKÖRPER, ANDERWEIT WEDER GENANNT NOCH INBEGRIFFEN; REKLAMELEUCHTEN, LEUCHTSCHILDER, BELEUCHTETE NAMENSSCHILDER UND DERGLEICHEN; VORGEFERTIGTE GEBÄUDE: Leuchten und Beleuchtungskörper (einschließlich Scheinwerfer) und Teile davon, anderweit weder genannt noch inbegriffen; Reklameleuchten, Leuchtschilder, beleuchtete Namensschilder und dergleichen, mit fest angebrachter Lichtquelle, und Teile davon, anderweit weder genannt noch inbegriffen: Teile: aus Kunststoffen</t>
  </si>
  <si>
    <t>KAPITEL 94 - MÖBEL; MEDIZINISCH-CHIRURGISCHE MÖBEL; BETTAUSSTATTUNGEN UND ÄHNLICHE WAREN; BELEUCHTUNGSKÖRPER, ANDERWEIT WEDER GENANNT NOCH INBEGRIFFEN; REKLAMELEUCHTEN, LEUCHTSCHILDER, BELEUCHTETE NAMENSSCHILDER UND DERGLEICHEN; VORGEFERTIGTE GEBÄUDE: Beleuchtungskörper (einschließlich Scheinwerfer) und Teile davon, anderweit weder genannt noch inbegriffen; Reklameleuchten, Leuchtschilder, beleuchtete Namensschilder und dergleichen, mit fest angebrachter Lichtquelle, und Teile davon, anderweit weder genannt noch inbegriffen: Teile: aus Kunststoffen</t>
  </si>
  <si>
    <t>aus anderen Stoffen</t>
  </si>
  <si>
    <t>KAPITEL 94 - MÖBEL; MEDIZINISCH-CHIRURGISCHE MÖBEL; BETTAUSSTATTUNGEN UND ÄHNLICHE WAREN; LEUCHTEN UND BELEUCHTUNGSKÖRPER, ANDERWEIT WEDER GENANNT NOCH INBEGRIFFEN; REKLAMELEUCHTEN, LEUCHTSCHILDER, BELEUCHTETE NAMENSSCHILDER UND DERGLEICHEN; VORGEFERTIGTE GEBÄUDE: Leuchten und Beleuchtungskörper (einschließlich Scheinwerfer) und Teile davon, anderweit weder genannt noch inbegriffen; Reklameleuchten, Leuchtschilder, beleuchtete Namensschilder und dergleichen, mit fest angebrachter Lichtquelle, und Teile davon, anderweit weder genannt noch inbegriffen: Teile: aus anderen Stoffen</t>
  </si>
  <si>
    <t>KAPITEL 94 - MÖBEL; MEDIZINISCH-CHIRURGISCHE MÖBEL; BETTAUSSTATTUNGEN UND ÄHNLICHE WAREN; BELEUCHTUNGSKÖRPER, ANDERWEIT WEDER GENANNT NOCH INBEGRIFFEN; REKLAMELEUCHTEN, LEUCHTSCHILDER, BELEUCHTETE NAMENSSCHILDER UND DERGLEICHEN; VORGEFERTIGTE GEBÄUDE: Beleuchtungskörper (einschließlich Scheinwerfer) und Teile davon, anderweit weder genannt noch inbegriffen; Reklameleuchten, Leuchtschilder, beleuchtete Namensschilder und dergleichen, mit fest angebrachter Lichtquelle, und Teile davon, anderweit weder genannt noch inbegriffen: Teile: aus anderen Stoffen</t>
  </si>
  <si>
    <t>aus Holz</t>
  </si>
  <si>
    <t>KAPITEL 94 - MÖBEL; MEDIZINISCH-CHIRURGISCHE MÖBEL; BETTAUSSTATTUNGEN UND ÄHNLICHE WAREN; LEUCHTEN UND BELEUCHTUNGSKÖRPER, ANDERWEIT WEDER GENANNT NOCH INBEGRIFFEN; REKLAMELEUCHTEN, LEUCHTSCHILDER, BELEUCHTETE NAMENSSCHILDER UND DERGLEICHEN; VORGEFERTIGTE GEBÄUDE: Vorgefertigte Gebäude: aus Holz</t>
  </si>
  <si>
    <t>KAPITEL 94 - MÖBEL; MEDIZINISCH-CHIRURGISCHE MÖBEL; BETTAUSSTATTUNGEN UND ÄHNLICHE WAREN; BELEUCHTUNGSKÖRPER, ANDERWEIT WEDER GENANNT NOCH INBEGRIFFEN; REKLAMELEUCHTEN, LEUCHTSCHILDER, BELEUCHTETE NAMENSSCHILDER UND DERGLEICHEN; VORGEFERTIGTE GEBÄUDE: Vorgefertigte Gebäude: aus Holz</t>
  </si>
  <si>
    <t>Mobilheime</t>
  </si>
  <si>
    <t>KAPITEL 94 - MÖBEL; MEDIZINISCH-CHIRURGISCHE MÖBEL; BETTAUSSTATTUNGEN UND ÄHNLICHE WAREN; LEUCHTEN UND BELEUCHTUNGSKÖRPER, ANDERWEIT WEDER GENANNT NOCH INBEGRIFFEN; REKLAMELEUCHTEN, LEUCHTSCHILDER, BELEUCHTETE NAMENSSCHILDER UND DERGLEICHEN; VORGEFERTIGTE GEBÄUDE: Vorgefertigte Gebäude: andere: Mobilheime</t>
  </si>
  <si>
    <t>KAPITEL 94 - MÖBEL; MEDIZINISCH-CHIRURGISCHE MÖBEL; BETTAUSSTATTUNGEN UND ÄHNLICHE WAREN; BELEUCHTUNGSKÖRPER, ANDERWEIT WEDER GENANNT NOCH INBEGRIFFEN; REKLAMELEUCHTEN, LEUCHTSCHILDER, BELEUCHTETE NAMENSSCHILDER UND DERGLEICHEN; VORGEFERTIGTE GEBÄUDE: Vorgefertigte Gebäude: andere: Mobilheime</t>
  </si>
  <si>
    <t>Gewächshäuser</t>
  </si>
  <si>
    <t>KAPITEL 94 - MÖBEL; MEDIZINISCH-CHIRURGISCHE MÖBEL; BETTAUSSTATTUNGEN UND ÄHNLICHE WAREN; LEUCHTEN UND BELEUCHTUNGSKÖRPER, ANDERWEIT WEDER GENANNT NOCH INBEGRIFFEN; REKLAMELEUCHTEN, LEUCHTSCHILDER, BELEUCHTETE NAMENSSCHILDER UND DERGLEICHEN; VORGEFERTIGTE GEBÄUDE: Vorgefertigte Gebäude: andere: andere: aus Eisen oder Stahl: Gewächshäuser</t>
  </si>
  <si>
    <t>KAPITEL 94 - MÖBEL; MEDIZINISCH-CHIRURGISCHE MÖBEL; BETTAUSSTATTUNGEN UND ÄHNLICHE WAREN; BELEUCHTUNGSKÖRPER, ANDERWEIT WEDER GENANNT NOCH INBEGRIFFEN; REKLAMELEUCHTEN, LEUCHTSCHILDER, BELEUCHTETE NAMENSSCHILDER UND DERGLEICHEN; VORGEFERTIGTE GEBÄUDE: Vorgefertigte Gebäude: andere: andere: aus Eisen oder Stahl: Gewächshäuser</t>
  </si>
  <si>
    <t>KAPITEL 94 - MÖBEL; MEDIZINISCH-CHIRURGISCHE MÖBEL; BETTAUSSTATTUNGEN UND ÄHNLICHE WAREN; LEUCHTEN UND BELEUCHTUNGSKÖRPER, ANDERWEIT WEDER GENANNT NOCH INBEGRIFFEN; REKLAMELEUCHTEN, LEUCHTSCHILDER, BELEUCHTETE NAMENSSCHILDER UND DERGLEICHEN; VORGEFERTIGTE GEBÄUDE: Vorgefertigte Gebäude: andere: andere: aus Eisen oder Stahl: andere</t>
  </si>
  <si>
    <t>KAPITEL 94 - MÖBEL; MEDIZINISCH-CHIRURGISCHE MÖBEL; BETTAUSSTATTUNGEN UND ÄHNLICHE WAREN; BELEUCHTUNGSKÖRPER, ANDERWEIT WEDER GENANNT NOCH INBEGRIFFEN; REKLAMELEUCHTEN, LEUCHTSCHILDER, BELEUCHTETE NAMENSSCHILDER UND DERGLEICHEN; VORGEFERTIGTE GEBÄUDE: Vorgefertigte Gebäude: andere: andere: aus Eisen oder Stahl: andere</t>
  </si>
  <si>
    <t>KAPITEL 94 - MÖBEL; MEDIZINISCH-CHIRURGISCHE MÖBEL; BETTAUSSTATTUNGEN UND ÄHNLICHE WAREN; LEUCHTEN UND BELEUCHTUNGSKÖRPER, ANDERWEIT WEDER GENANNT NOCH INBEGRIFFEN; REKLAMELEUCHTEN, LEUCHTSCHILDER, BELEUCHTETE NAMENSSCHILDER UND DERGLEICHEN; VORGEFERTIGTE GEBÄUDE: Vorgefertigte Gebäude: andere: andere: aus anderen Stoffen</t>
  </si>
  <si>
    <t>KAPITEL 94 - MÖBEL; MEDIZINISCH-CHIRURGISCHE MÖBEL; BETTAUSSTATTUNGEN UND ÄHNLICHE WAREN; BELEUCHTUNGSKÖRPER, ANDERWEIT WEDER GENANNT NOCH INBEGRIFFEN; REKLAMELEUCHTEN, LEUCHTSCHILDER, BELEUCHTETE NAMENSSCHILDER UND DERGLEICHEN; VORGEFERTIGTE GEBÄUDE: Vorgefertigte Gebäude: andere: andere: aus anderen Stoffen</t>
  </si>
  <si>
    <t>gefüllt</t>
  </si>
  <si>
    <t>Füllmaterial enthaltend</t>
  </si>
  <si>
    <t>KAPITEL 95 - SPIELZEUG, SPIELE, UNTERHALTUNGSARTIKEL UND SPORTGERÄTE; TEILE DAVON UND ZUBEHÖR: Dreiräder, Roller, Autos mit Tretwerk und ähnliche Spielfahrzeuge; Puppenwagen; Puppen; anderes Spielzeug; maßstabgetreu verkleinerte Modelle und ähnliche Modelle zur Unterhaltung, auch mit Antrieb; Puzzles aller Art: Spielzeug, Tiere oder nicht menschliche Wesen darstellend: gefüllt</t>
  </si>
  <si>
    <t>KAPITEL 95 - SPIELZEUG, SPIELE, UNTERHALTUNGSARTIKEL UND SPORTGERÄTE; TEILE DAVON UND ZUBEHÖR: Dreiräder, Roller, Autos mit Tretwerk und ähnliche Spielfahrzeuge; Puppenwagen; Puppen; anderes Spielzeug; maßstabgetreu verkleinerte Modelle und ähnliche Modelle zur Unterhaltung, auch mit Antrieb; Puzzles aller Art: Spielzeug, Tiere oder nicht menschliche Wesen darstellend: Füllmaterial enthaltend</t>
  </si>
  <si>
    <t>Billardspiele aller Art und Zubehör</t>
  </si>
  <si>
    <t>KAPITEL 95 - SPIELZEUG, SPIELE, UNTERHALTUNGSARTIKEL UND SPORTGERÄTE; TEILE DAVON UND ZUBEHÖR: Videospielkonsolen und -geräte; Gesellschaftsspiele, einschließlich mechanisch betriebene Spiele, Billardspiele, Glücksspieltische und automatische Kegelbahnen (z. B. Bowlingbahnen), Vergnügungsmaschinen, mit Münzen, Geldscheinen, Bankkarten, Spielmarken oder anderen Zahlungsmitteln betrieben: Billardspiele aller Art und Zubehör</t>
  </si>
  <si>
    <t>KAPITEL 95 - SPIELZEUG, SPIELE, UNTERHALTUNGSARTIKEL UND SPORTGERÄTE; TEILE DAVON UND ZUBEHÖR: Videospielkonsolen und -geräte; Gesellschaftsspiele, einschließlich mechanisch betriebene Spiele, Billardspiele, Glücksspieltische und automatische Kegelbahnen (z. B. Bowlingbahnen): Billardspiele aller Art und Zubehör</t>
  </si>
  <si>
    <t>Spiele mit Bildschirm</t>
  </si>
  <si>
    <t>KAPITEL 95 - SPIELZEUG, SPIELE, UNTERHALTUNGSARTIKEL UND SPORTGERÄTE; TEILE DAVON UND ZUBEHÖR: Videospielkonsolen und -geräte; Gesellschaftsspiele, einschließlich mechanisch betriebene Spiele, Billardspiele, Glücksspieltische und automatische Kegelbahnen (z. B. Bowlingbahnen), Vergnügungsmaschinen, mit Münzen, Geldscheinen, Bankkarten, Spielmarken oder anderen Zahlungsmitteln betrieben: andere Spiele, mit Münzen, Geldscheinen, Bankkarten, Spielmarken oder anderen Zahlungsmitteln betrieben, ausgenommen automatische Kegelbahnen (Bowlingbahnen): Spiele mit Bildschirm</t>
  </si>
  <si>
    <t>KAPITEL 95 - SPIELZEUG, SPIELE, UNTERHALTUNGSARTIKEL UND SPORTGERÄTE; TEILE DAVON UND ZUBEHÖR: Videospielkonsolen und -geräte; Gesellschaftsspiele, einschließlich mechanisch betriebene Spiele, Billardspiele, Glücksspieltische und automatische Kegelbahnen (z. B. Bowlingbahnen): andere Spiele, mit Münzen, Geldscheinen, Bankkarten, Spielmarken oder anderen Zahlungsmitteln betrieben, ausgenommen automatische Kegelbahnen (Bowlingbahnen): Spiele mit Bildschirm</t>
  </si>
  <si>
    <t>andere Spiele</t>
  </si>
  <si>
    <t>KAPITEL 95 - SPIELZEUG, SPIELE, UNTERHALTUNGSARTIKEL UND SPORTGERÄTE; TEILE DAVON UND ZUBEHÖR: Videospielkonsolen und -geräte; Gesellschaftsspiele, einschließlich mechanisch betriebene Spiele, Billardspiele, Glücksspieltische und automatische Kegelbahnen (z. B. Bowlingbahnen), Vergnügungsmaschinen, mit Münzen, Geldscheinen, Bankkarten, Spielmarken oder anderen Zahlungsmitteln betrieben: andere Spiele, mit Münzen, Geldscheinen, Bankkarten, Spielmarken oder anderen Zahlungsmitteln betrieben, ausgenommen automatische Kegelbahnen (Bowlingbahnen): andere Spiele</t>
  </si>
  <si>
    <t>KAPITEL 95 - SPIELZEUG, SPIELE, UNTERHALTUNGSARTIKEL UND SPORTGERÄTE; TEILE DAVON UND ZUBEHÖR: Videospielkonsolen und -geräte; Gesellschaftsspiele, einschließlich mechanisch betriebene Spiele, Billardspiele, Glücksspieltische und automatische Kegelbahnen (z. B. Bowlingbahnen): andere Spiele, mit Münzen, Geldscheinen, Bankkarten, Spielmarken oder anderen Zahlungsmitteln betrieben, ausgenommen automatische Kegelbahnen (Bowlingbahnen): andere Spiele</t>
  </si>
  <si>
    <t>KAPITEL 95 - SPIELZEUG, SPIELE, UNTERHALTUNGSARTIKEL UND SPORTGERÄTE; TEILE DAVON UND ZUBEHÖR: Videospielkonsolen und -geräte; Gesellschaftsspiele, einschließlich mechanisch betriebene Spiele, Billardspiele, Glücksspieltische und automatische Kegelbahnen (z. B. Bowlingbahnen), Vergnügungsmaschinen, mit Münzen, Geldscheinen, Bankkarten, Spielmarken oder anderen Zahlungsmitteln betrieben: andere Spiele, mit Münzen, Geldscheinen, Bankkarten, Spielmarken oder anderen Zahlungsmitteln betrieben, ausgenommen automatische Kegelbahnen (Bowlingbahnen): Teile</t>
  </si>
  <si>
    <t>KAPITEL 95 - SPIELZEUG, SPIELE, UNTERHALTUNGSARTIKEL UND SPORTGERÄTE; TEILE DAVON UND ZUBEHÖR: Videospielkonsolen und -geräte; Gesellschaftsspiele, einschließlich mechanisch betriebene Spiele, Billardspiele, Glücksspieltische und automatische Kegelbahnen (z. B. Bowlingbahnen): andere Spiele, mit Münzen, Geldscheinen, Bankkarten, Spielmarken oder anderen Zahlungsmitteln betrieben, ausgenommen automatische Kegelbahnen (Bowlingbahnen): Teile</t>
  </si>
  <si>
    <t>Spielkarten</t>
  </si>
  <si>
    <t>KAPITEL 95 - SPIELZEUG, SPIELE, UNTERHALTUNGSARTIKEL UND SPORTGERÄTE; TEILE DAVON UND ZUBEHÖR: Videospielkonsolen und -geräte; Gesellschaftsspiele, einschließlich mechanisch betriebene Spiele, Billardspiele, Glücksspieltische und automatische Kegelbahnen (z. B. Bowlingbahnen), Vergnügungsmaschinen, mit Münzen, Geldscheinen, Bankkarten, Spielmarken oder anderen Zahlungsmitteln betrieben: Spielkarten</t>
  </si>
  <si>
    <t>KAPITEL 95 - SPIELZEUG, SPIELE, UNTERHALTUNGSARTIKEL UND SPORTGERÄTE; TEILE DAVON UND ZUBEHÖR: Videospielkonsolen und -geräte; Gesellschaftsspiele, einschließlich mechanisch betriebene Spiele, Billardspiele, Glücksspieltische und automatische Kegelbahnen (z. B. Bowlingbahnen): Spielkarten</t>
  </si>
  <si>
    <t>Videospielkonsolen und -geräte, andere als solche der Unterposition 950430</t>
  </si>
  <si>
    <t>KAPITEL 95 - SPIELZEUG, SPIELE, UNTERHALTUNGSARTIKEL UND SPORTGERÄTE; TEILE DAVON UND ZUBEHÖR: Videospielkonsolen und -geräte; Gesellschaftsspiele, einschließlich mechanisch betriebene Spiele, Billardspiele, Glücksspieltische und automatische Kegelbahnen (z. B. Bowlingbahnen), Vergnügungsmaschinen, mit Münzen, Geldscheinen, Bankkarten, Spielmarken oder anderen Zahlungsmitteln betrieben: Videospielkonsolen und -geräte, andere als solche der Unterposition 950430</t>
  </si>
  <si>
    <t>KAPITEL 95 - SPIELZEUG, SPIELE, UNTERHALTUNGSARTIKEL UND SPORTGERÄTE; TEILE DAVON UND ZUBEHÖR: Videospielkonsolen und -geräte; Gesellschaftsspiele, einschließlich mechanisch betriebene Spiele, Billardspiele, Glücksspieltische und automatische Kegelbahnen (z. B. Bowlingbahnen): Videospielkonsolen und -geräte, andere als solche der Unterposition 950430</t>
  </si>
  <si>
    <t>elektrische Auto-Rennspiele, die den Charakter von Gesellschaftsspielen haben</t>
  </si>
  <si>
    <t>KAPITEL 95 - SPIELZEUG, SPIELE, UNTERHALTUNGSARTIKEL UND SPORTGERÄTE; TEILE DAVON UND ZUBEHÖR: Videospielkonsolen und -geräte; Gesellschaftsspiele, einschließlich mechanisch betriebene Spiele, Billardspiele, Glücksspieltische und automatische Kegelbahnen (z. B. Bowlingbahnen), Vergnügungsmaschinen, mit Münzen, Geldscheinen, Bankkarten, Spielmarken oder anderen Zahlungsmitteln betrieben: andere: elektrische Auto-Rennspiele, die den Charakter von Gesellschaftsspielen haben</t>
  </si>
  <si>
    <t>KAPITEL 95 - SPIELZEUG, SPIELE, UNTERHALTUNGSARTIKEL UND SPORTGERÄTE; TEILE DAVON UND ZUBEHÖR: Videospielkonsolen und -geräte; Gesellschaftsspiele, einschließlich mechanisch betriebene Spiele, Billardspiele, Glücksspieltische und automatische Kegelbahnen (z. B. Bowlingbahnen): andere: elektrische Auto-Rennspiele, die den Charakter von Gesellschaftsspielen haben</t>
  </si>
  <si>
    <t>KAPITEL 95 - SPIELZEUG, SPIELE, UNTERHALTUNGSARTIKEL UND SPORTGERÄTE; TEILE DAVON UND ZUBEHÖR: Videospielkonsolen und -geräte; Gesellschaftsspiele, einschließlich mechanisch betriebene Spiele, Billardspiele, Glücksspieltische und automatische Kegelbahnen (z. B. Bowlingbahnen), Vergnügungsmaschinen, mit Münzen, Geldscheinen, Bankkarten, Spielmarken oder anderen Zahlungsmitteln betrieben: andere: andere</t>
  </si>
  <si>
    <t>KAPITEL 95 - SPIELZEUG, SPIELE, UNTERHALTUNGSARTIKEL UND SPORTGERÄTE; TEILE DAVON UND ZUBEHÖR: Videospielkonsolen und -geräte; Gesellschaftsspiele, einschließlich mechanisch betriebene Spiele, Billardspiele, Glücksspieltische und automatische Kegelbahnen (z. B. Bowlingbahnen): andere: andere</t>
  </si>
  <si>
    <t>Wanderzirkusse und Wandertierschauen</t>
  </si>
  <si>
    <t>KAPITEL 95 - SPIELZEUG, SPIELE, UNTERHALTUNGSARTIKEL UND SPORTGERÄTE; TEILE DAVON UND ZUBEHÖR: Wanderzirkusse und Wandertierschauen; Vergnügungspark-Fahrgeschäfte und Wasserparkattraktionen; Schaustellerattraktionen, einschließlich Schießbuden; Wanderbühnen: Wanderzirkusse und Wandertierschauen</t>
  </si>
  <si>
    <t>KAPITEL 95 - SPIELZEUG, SPIELE, UNTERHALTUNGSARTIKEL UND SPORTGERÄTE; TEILE DAVON UND ZUBEHÖR: Karusselle, Luftschaukeln, Schießbuden und andere Schaustellerattraktionen; Wanderzirkusse und Wandertierschauen; Wanderbühnen: Wanderzirkusse und Wandertierschauen</t>
  </si>
  <si>
    <t>Bleistifte</t>
  </si>
  <si>
    <t>KAPITEL 96 - VERSCHIEDENE WAREN: Blei-, Kopier- und Farbstifte (ausgenommen Waren der Position 9608), Griffel, Minen für Stifte, Pastellstifte, Zeichenkohle, Schreib- oder Zeichenkreide und Schneiderkreide: Stifte mit Schutzmantel: Bleistifte</t>
  </si>
  <si>
    <t>KAPITEL 96 - VERSCHIEDENE WAREN: Blei-, Kopier- und Farbstifte (ausgenommen Waren der Position 9608), Griffel, Minen für Stifte, Pastellstifte, Zeichenkohle, Schreib- oder Zeichenkreide und Schneiderkreide: Stifte mit festem Schutzmantel: Bleistifte</t>
  </si>
  <si>
    <t>KAPITEL 96 - VERSCHIEDENE WAREN: Blei-, Kopier- und Farbstifte (ausgenommen Waren der Position 9608), Griffel, Minen für Stifte, Pastellstifte, Zeichenkohle, Schreib- oder Zeichenkreide und Schneiderkreide: Stifte mit Schutzmantel: andere</t>
  </si>
  <si>
    <t>KAPITEL 96 - VERSCHIEDENE WAREN: Blei-, Kopier- und Farbstifte (ausgenommen Waren der Position 9608), Griffel, Minen für Stifte, Pastellstifte, Zeichenkohle, Schreib- oder Zeichenkreide und Schneiderkreide: Stifte mit festem Schutzmantel: andere</t>
  </si>
  <si>
    <t>Pfeifenrohformen aus Wurzelholz oder anderem Holz</t>
  </si>
  <si>
    <t>KAPITEL 96 - VERSCHIEDENE WAREN: Pfeifen zum Rauchen (einschließlich Pfeifenköpfe), Zigarren- und Zigarettenspitzen, und Teile davon: Pfeifenrohformen aus Wurzelholz oder anderem Holz</t>
  </si>
  <si>
    <t>KAPITEL 96 - VERSCHIEDENE WAREN: Tabakpfeifen (einschließlich Pfeifenköpfe), Zigarren- und Zigarettenspitzen, und Teile davon: Pfeifenrohformen aus Wurzelholz oder anderem Holz</t>
  </si>
  <si>
    <t>KAPITEL 96 - VERSCHIEDENE WAREN: Pfeifen zum Rauchen (einschließlich Pfeifenköpfe), Zigarren- und Zigarettenspitzen, und Teile davon: andere</t>
  </si>
  <si>
    <t>KAPITEL 96 - VERSCHIEDENE WAREN: Tabakpfeifen (einschließlich Pfeifenköpfe), Zigarren- und Zigarettenspitzen, und Teile davon: andere</t>
  </si>
  <si>
    <t>aus Spinnstoffwatte</t>
  </si>
  <si>
    <t>KAPITEL 96 - VERSCHIEDENE WAREN: Hygienische Binden (Einlagen) und Tampons, Windeln, Windeleinlagen und ähnliche Waren aus Stoffen aller Art: aus Spinnstoffwatte</t>
  </si>
  <si>
    <t>KAPITEL 96 - VERSCHIEDENE WAREN: Hygienische Binden (Einlagen) und Tampons, Windeln und Windeleinlagen für Säuglinge und Kleinkinder und ähnliche Waren, aus Stoffen aller Art: aus Spinnstoffwatte</t>
  </si>
  <si>
    <t>Hygienische Binden (Einlagen), Tampons und ähnliche Waren</t>
  </si>
  <si>
    <t>KAPITEL 96 - VERSCHIEDENE WAREN: Hygienische Binden (Einlagen) und Tampons, Windeln, Windeleinlagen und ähnliche Waren aus Stoffen aller Art: aus anderen Spinnstoffen: Hygienische Binden (Einlagen), Tampons und ähnliche Waren</t>
  </si>
  <si>
    <t>KAPITEL 96 - VERSCHIEDENE WAREN: Hygienische Binden (Einlagen) und Tampons, Windeln und Windeleinlagen für Säuglinge und Kleinkinder und ähnliche Waren, aus Stoffen aller Art: aus anderen Spinnstoffen: Hygienische Binden (Einlagen), Tampons und ähnliche Waren</t>
  </si>
  <si>
    <t>Windeln und Windeleinlagen für Säuglinge und Kleinkinder und ähnliche Waren</t>
  </si>
  <si>
    <t>KAPITEL 96 - VERSCHIEDENE WAREN: Hygienische Binden (Einlagen) und Tampons, Windeln, Windeleinlagen und ähnliche Waren aus Stoffen aller Art: aus anderen Spinnstoffen: Windeln und Windeleinlagen für Säuglinge und Kleinkinder und ähnliche Waren</t>
  </si>
  <si>
    <t>KAPITEL 96 - VERSCHIEDENE WAREN: Hygienische Binden (Einlagen) und Tampons, Windeln und Windeleinlagen für Säuglinge und Kleinkinder und ähnliche Waren, aus Stoffen aller Art: aus anderen Spinnstoffen: Windeln und Windeleinlagen für Säuglinge und Kleinkinder und ähnliche Waren</t>
  </si>
  <si>
    <t>Hygienische Binden (Einlagen)</t>
  </si>
  <si>
    <t>KAPITEL 96 - VERSCHIEDENE WAREN: Hygienische Binden (Einlagen) und Tampons, Windeln, Windeleinlagen und ähnliche Waren aus Stoffen aller Art: aus anderen Stoffen: Hygienische Binden (Einlagen), Tampons und ähnliche Waren: Hygienische Binden (Einlagen)</t>
  </si>
  <si>
    <t>KAPITEL 96 - VERSCHIEDENE WAREN: Hygienische Binden (Einlagen) und Tampons, Windeln und Windeleinlagen für Säuglinge und Kleinkinder und ähnliche Waren, aus Stoffen aller Art: aus anderen Stoffen: Hygienische Binden (Einlagen), Tampons und ähnliche Waren: Hygienische Binden (Einlagen)</t>
  </si>
  <si>
    <t>KAPITEL 96 - VERSCHIEDENE WAREN: Hygienische Binden (Einlagen) und Tampons, Windeln, Windeleinlagen und ähnliche Waren aus Stoffen aller Art: aus anderen Stoffen: Hygienische Binden (Einlagen), Tampons und ähnliche Waren: Tampons</t>
  </si>
  <si>
    <t>KAPITEL 96 - VERSCHIEDENE WAREN: Hygienische Binden (Einlagen) und Tampons, Windeln und Windeleinlagen für Säuglinge und Kleinkinder und ähnliche Waren, aus Stoffen aller Art: aus anderen Stoffen: Hygienische Binden (Einlagen), Tampons und ähnliche Waren: Tampons</t>
  </si>
  <si>
    <t>KAPITEL 96 - VERSCHIEDENE WAREN: Hygienische Binden (Einlagen) und Tampons, Windeln, Windeleinlagen und ähnliche Waren aus Stoffen aller Art: aus anderen Stoffen: Hygienische Binden (Einlagen), Tampons und ähnliche Waren: andere</t>
  </si>
  <si>
    <t>KAPITEL 96 - VERSCHIEDENE WAREN: Hygienische Binden (Einlagen) und Tampons, Windeln und Windeleinlagen für Säuglinge und Kleinkinder und ähnliche Waren, aus Stoffen aller Art: aus anderen Stoffen: Hygienische Binden (Einlagen), Tampons und ähnliche Waren: andere</t>
  </si>
  <si>
    <t>Windeln und Windeleinlagen für Säuglinge und Kleinkinder</t>
  </si>
  <si>
    <t>KAPITEL 96 - VERSCHIEDENE WAREN: Hygienische Binden (Einlagen) und Tampons, Windeln, Windeleinlagen und ähnliche Waren aus Stoffen aller Art: aus anderen Stoffen: Windeln und Windeleinlagen für Säuglinge und Kleinkinder und ähnliche Waren: Windeln und Windeleinlagen für Säuglinge und Kleinkinder</t>
  </si>
  <si>
    <t>KAPITEL 96 - VERSCHIEDENE WAREN: Hygienische Binden (Einlagen) und Tampons, Windeln und Windeleinlagen für Säuglinge und Kleinkinder und ähnliche Waren, aus Stoffen aller Art: aus anderen Stoffen: Windeln und Windeleinlagen für Säuglinge und Kleinkinder und ähnliche Waren: Windeln und Windeleinlagen für Säuglinge und Kleinkinder</t>
  </si>
  <si>
    <t>andere (z. B. Artikel für Inkontinenz)</t>
  </si>
  <si>
    <t>KAPITEL 96 - VERSCHIEDENE WAREN: Hygienische Binden (Einlagen) und Tampons, Windeln, Windeleinlagen und ähnliche Waren aus Stoffen aller Art: aus anderen Stoffen: Windeln und Windeleinlagen für Säuglinge und Kleinkinder und ähnliche Waren: andere (z. B. Artikel für Inkontinenz)</t>
  </si>
  <si>
    <t>KAPITEL 96 - VERSCHIEDENE WAREN: Hygienische Binden (Einlagen) und Tampons, Windeln und Windeleinlagen für Säuglinge und Kleinkinder und ähnliche Waren, aus Stoffen aller Art: aus anderen Stoffen: Windeln und Windeleinlagen für Säuglinge und Kleinkinder und ähnliche Waren: andere (z. B. Artikel für Inkontinenz)</t>
  </si>
  <si>
    <t>Aussteuer und Hausrat einer Person, die ihren gewöhnlichen Wohnsitz aus Anlass ihrer Eheschließung verlegt</t>
  </si>
  <si>
    <t>Die folgenden Waren, andere als die oben genannten:–- Aussteuer und Hausrat einer Person, die ihren gewöhnlichen Wohnsitz aus Anlass ihrer Eheschließung verlegt; Erbschaftsgut.–– Ausstattung, Ausbildungsmaterial und Haushaltsgegenstände von Schülern und Studenten–– Särge mit Verstorbenen und Urnen mit der Asche Verstorbener sowie Gegenstände zur Grabausschmückung–– für Organisationen der Wohlfahrtspflege bestimmte Waren und für Katastrophenopfer bestimmte Waren</t>
  </si>
  <si>
    <t>BESONDERE CODES DER KOMBINIERTEN NOMENKLATUR: Bestimmte Waren gemäß der Verordnung (EG) Nr. 1186/2009 des Rates (Einfuhr und Ausfuhr): Die folgenden Waren, andere als die oben genannten:–- Aussteuer und Hausrat einer Person, die ihren gewöhnlichen Wohnsitz aus Anlass ihrer Eheschließung verlegt; Erbschaftsgut.–– Ausstattung, Ausbildungsmaterial und Haushaltsgegenstände von Schülern und Studenten–– Särge mit Verstorbenen und Urnen mit der Asche Verstorbener sowie Gegenstände zur Grabausschmückung–– für Organisationen der Wohlfahrtspflege bestimmte Waren und für Katastrophenopfer bestimmte Waren: Aussteuer und Hausrat einer Person, die ihren gewöhnlichen Wohnsitz aus Anlass ihrer Eheschließung verlegt</t>
  </si>
  <si>
    <t>BESONDERE CODES DER KOMBINIERTEN NOMENKLATUR: Bestimmte Waren gemäß der Verordnung (EG) Nr. 1186/2009 des Rates (Einfuhr und Ausfuhr): Die folgenden Waren, andere als die oben genannten:–- Aussteuer und Hausrat einer Person, die ihren gewöhnlichen Wohnsitz aus Anlass ihrer Eheschließung verlegt; Erbschaftsgut.–– Ausstattung, Ausbildungsmaterial und Haushaltsgegenstände von Schülern und Studenten–– Särge mit Verstorbenen und Urnen mit der Asche Verstorbener sowie Gegenstände zur Grabausschmückung–– für Organisationen der Wohlfahrtspflege bestimmte Waren und für Katastrophenopfer bestimmte Waren</t>
  </si>
  <si>
    <t>Waren der Kapitel 1 bis 24 der KN</t>
  </si>
  <si>
    <t>BESONDERE CODES DER KOMBINIERTEN NOMENKLATUR: an Schiffe und Luftfahrzeuge gelieferte Waren: Waren der Kapitel 1 bis 24 der KN</t>
  </si>
  <si>
    <t>BESONDERE CODES DER KOMBINIERTEN NOMENKLATUR: Bestimmte Waren gemäß der Verordnung (EG) Nr. 1186/2009 des Rates (Einfuhr und Ausfuhr): an Schiffe und Luftfahrzeuge gelieferte Waren: Waren der Kapitel 1 bis 24 der KN</t>
  </si>
  <si>
    <t>Waren des Kapitels 27 der KN</t>
  </si>
  <si>
    <t>BESONDERE CODES DER KOMBINIERTEN NOMENKLATUR: an Schiffe und Luftfahrzeuge gelieferte Waren: Waren des Kapitels 27 der KN</t>
  </si>
  <si>
    <t>BESONDERE CODES DER KOMBINIERTEN NOMENKLATUR: Bestimmte Waren gemäß der Verordnung (EG) Nr. 1186/2009 des Rates (Einfuhr und Ausfuhr): an Schiffe und Luftfahrzeuge gelieferte Waren: Waren des Kapitels 27 der KN</t>
  </si>
  <si>
    <t>anderweitig klassifizierte Waren</t>
  </si>
  <si>
    <t>BESONDERE CODES DER KOMBINIERTEN NOMENKLATUR: an Schiffe und Luftfahrzeuge gelieferte Waren: anderweitig klassifizierte Waren</t>
  </si>
  <si>
    <t>BESONDERE CODES DER KOMBINIERTEN NOMENKLATUR: Bestimmte Waren gemäß der Verordnung (EG) Nr. 1186/2009 des Rates (Einfuhr und Ausfuhr): an Schiffe und Luftfahrzeuge gelieferte Waren: anderweitig klassifizierte Waren</t>
  </si>
  <si>
    <t>BESONDERE CODES DER KOMBINIERTEN NOMENKLATUR: An die Besatzungsmitglieder der Offshore-Anlage oder zum Betrieb von Motoren, Maschinen und sonstigen Geräten der Offshore-Anlage gelieferte Waren: Waren der Kapitel 1 bis 24 der KN</t>
  </si>
  <si>
    <t>BESONDERE CODES DER KOMBINIERTEN NOMENKLATUR: Bestimmte Waren gemäß der Verordnung (EG) Nr. 1186/2009 des Rates (Einfuhr und Ausfuhr): An die Besatzungsmitglieder der Offshore-Anlage oder zum Betrieb von Motoren, Maschinen und sonstigen Geräten der Offshore-Anlage gelieferte Waren: Waren der Kapitel 1 bis 24 der KN</t>
  </si>
  <si>
    <t>BESONDERE CODES DER KOMBINIERTEN NOMENKLATUR: An die Besatzungsmitglieder der Offshore-Anlage oder zum Betrieb von Motoren, Maschinen und sonstigen Geräten der Offshore-Anlage gelieferte Waren: Waren des Kapitels 27 der KN</t>
  </si>
  <si>
    <t>BESONDERE CODES DER KOMBINIERTEN NOMENKLATUR: Bestimmte Waren gemäß der Verordnung (EG) Nr. 1186/2009 des Rates (Einfuhr und Ausfuhr): An die Besatzungsmitglieder der Offshore-Anlage oder zum Betrieb von Motoren, Maschinen und sonstigen Geräten der Offshore-Anlage gelieferte Waren: Waren des Kapitels 27 der KN</t>
  </si>
  <si>
    <t>BESONDERE CODES DER KOMBINIERTEN NOMENKLATUR: An die Besatzungsmitglieder der Offshore-Anlage oder zum Betrieb von Motoren, Maschinen und sonstigen Geräten der Offshore-Anlage gelieferte Waren: anderweitig klassifizierte Waren</t>
  </si>
  <si>
    <t>BESONDERE CODES DER KOMBINIERTEN NOMENKLATUR: Bestimmte Waren gemäß der Verordnung (EG) Nr. 1186/2009 des Rates (Einfuhr und Ausfuhr): An die Besatzungsmitglieder der Offshore-Anlage oder zum Betrieb von Motoren, Maschinen und sonstigen Geräten der Offshore-Anlage gelieferte Waren: anderweitig klassifizierte Waren</t>
  </si>
  <si>
    <t>Code, der nur für den Handelsverkehr zwischen den Mitgliedstaaten mit Einzeltransaktionen mit einem Wert von weniger als 200 EUR oder für die Anmeldung sonstiger Waren in einigen Fällen verwendet wird</t>
  </si>
  <si>
    <t>BESONDERE CODES DER KOMBINIERTEN NOMENKLATUR: Code, der nur für den Handelsverkehr zwischen den Mitgliedstaaten mit Einzeltransaktionen mit einem Wert von weniger als 200 EUR oder für die Anmeldung sonstiger Waren in einigen Fällen verwendet wird</t>
  </si>
  <si>
    <t>BESONDERE CODES DER KOMBINIERTEN NOMENKLATUR: Bestimmte Waren gemäß der Verordnung (EG) Nr. 1186/2009 des Rates (Einfuhr und Ausfuhr): Code, der nur für den Handelsverkehr zwischen den Mitgliedstaaten mit Einzeltransaktionen mit einem Wert von weniger als 200 EUR oder für die Anmeldung sonstiger Waren in einigen Fällen verwendet wird</t>
  </si>
  <si>
    <t>Language</t>
  </si>
  <si>
    <t>New Part Desc</t>
  </si>
  <si>
    <t>Old Part Desc</t>
  </si>
  <si>
    <t>New Full Desc</t>
  </si>
  <si>
    <t>Old Full Desc</t>
  </si>
  <si>
    <t>TARIFFCODEID</t>
  </si>
  <si>
    <t>SHORTNAME</t>
  </si>
  <si>
    <t>LONGNAME</t>
  </si>
  <si>
    <t>INCLUDED_COUNTRY_CODES</t>
  </si>
  <si>
    <t>SUBHEADING</t>
  </si>
  <si>
    <t>NUMBER_OF_HS_CODES_WITH_DUTY_CHANGES</t>
  </si>
  <si>
    <t>HSCODE</t>
  </si>
  <si>
    <t>NEW_ADVAL</t>
  </si>
  <si>
    <t>OLD_ADVAL</t>
  </si>
  <si>
    <t>NEW_PERUNIT</t>
  </si>
  <si>
    <t>OLD_PERUNIT</t>
  </si>
  <si>
    <t>NEW_FORMULA</t>
  </si>
  <si>
    <t>OLD_FORMULA</t>
  </si>
  <si>
    <t>NEW_NOTE</t>
  </si>
  <si>
    <t>OLD_NOTE</t>
  </si>
  <si>
    <t>TAXID</t>
  </si>
  <si>
    <t>TAXNAME</t>
  </si>
  <si>
    <t>TAX_RATE</t>
  </si>
  <si>
    <t>HTS6</t>
  </si>
  <si>
    <t>MAPPINGS_ADDED</t>
  </si>
  <si>
    <t>MAPPINGS_REMOVED</t>
  </si>
  <si>
    <t>HSGENERIC</t>
  </si>
  <si>
    <t>UOM_NUMBER</t>
  </si>
  <si>
    <t>NEW_UOM</t>
  </si>
  <si>
    <t>OLD_UOM</t>
  </si>
  <si>
    <t>51091010</t>
  </si>
  <si>
    <t>1</t>
  </si>
  <si>
    <t>NA</t>
  </si>
  <si>
    <t>P/ST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</si>
</sst>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49" fontId="0" fillId="0" borderId="0" xfId="0" applyNumberFormat="1"/>
    <xf numFmtId="0" fontId="0" fillId="0" borderId="0" xfId="0" applyNumberFormat="1"/>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selection activeCell="B1" sqref="B1:B65536"/>
    </sheetView>
  </sheetViews>
  <sheetFormatPr defaultRowHeight="15" x14ac:dyDescent="0.25"/>
  <cols>
    <col min="1" max="1" width="8.140625" bestFit="1" customWidth="1"/>
    <col min="2" max="2" width="20.140625" style="2" bestFit="1" customWidth="1"/>
  </cols>
  <sheetData>
    <row r="1" spans="1:2" x14ac:dyDescent="0.25">
      <c r="A1" t="s">
        <v>4</v>
      </c>
    </row>
    <row r="3" spans="1:2" x14ac:dyDescent="0.25">
      <c r="A3" s="1" t="s">
        <v>0</v>
      </c>
      <c r="B3" s="2" t="s">
        <v>1</v>
      </c>
    </row>
    <row r="4" spans="1:2" x14ac:dyDescent="0.25">
      <c r="A4" s="1" t="s">
        <v>2</v>
      </c>
      <c r="B4" s="2">
        <v>350</v>
      </c>
    </row>
    <row r="5" spans="1:2" x14ac:dyDescent="0.25">
      <c r="A5" s="1" t="s">
        <v>3</v>
      </c>
      <c r="B5" s="2">
        <v>592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B1" sqref="B1:F65536"/>
    </sheetView>
  </sheetViews>
  <sheetFormatPr defaultRowHeight="15" x14ac:dyDescent="0.25"/>
  <cols>
    <col min="1" max="1" width="7.85546875" bestFit="1" customWidth="1"/>
    <col min="2" max="2" width="10.85546875" style="2" bestFit="1" customWidth="1"/>
    <col min="3" max="3" width="6.28515625" style="2" bestFit="1" customWidth="1"/>
    <col min="4" max="4" width="9.85546875" style="2" bestFit="1" customWidth="1"/>
    <col min="5" max="5" width="12.28515625" style="2" bestFit="1" customWidth="1"/>
    <col min="6" max="6" width="9.85546875" style="2" bestFit="1" customWidth="1"/>
  </cols>
  <sheetData>
    <row r="1" spans="1:6" x14ac:dyDescent="0.25">
      <c r="A1" s="1" t="s">
        <v>0</v>
      </c>
      <c r="B1" s="2" t="s">
        <v>9330</v>
      </c>
      <c r="C1" s="2" t="s">
        <v>9324</v>
      </c>
      <c r="D1" s="2" t="s">
        <v>9325</v>
      </c>
      <c r="E1" s="2" t="s">
        <v>9310</v>
      </c>
      <c r="F1" s="2" t="s">
        <v>9326</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B1" sqref="B1:D65536"/>
    </sheetView>
  </sheetViews>
  <sheetFormatPr defaultRowHeight="15" x14ac:dyDescent="0.25"/>
  <cols>
    <col min="1" max="1" width="9" bestFit="1" customWidth="1"/>
    <col min="2" max="2" width="14.28515625" style="2" bestFit="1" customWidth="1"/>
    <col min="3" max="3" width="10.7109375" style="2" bestFit="1" customWidth="1"/>
    <col min="4" max="4" width="10" style="2" bestFit="1" customWidth="1"/>
  </cols>
  <sheetData>
    <row r="1" spans="1:4" x14ac:dyDescent="0.25">
      <c r="A1" s="1" t="s">
        <v>9315</v>
      </c>
      <c r="B1" s="2" t="s">
        <v>9331</v>
      </c>
      <c r="C1" s="2" t="s">
        <v>9332</v>
      </c>
      <c r="D1" s="2" t="s">
        <v>9333</v>
      </c>
    </row>
    <row r="2" spans="1:4" x14ac:dyDescent="0.25">
      <c r="A2" s="1" t="s">
        <v>9334</v>
      </c>
      <c r="B2" s="2" t="s">
        <v>9335</v>
      </c>
      <c r="C2" s="2" t="s">
        <v>9336</v>
      </c>
      <c r="D2" s="2" t="s">
        <v>9337</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3"/>
  <sheetViews>
    <sheetView workbookViewId="0"/>
  </sheetViews>
  <sheetFormatPr defaultRowHeight="15" x14ac:dyDescent="0.25"/>
  <cols>
    <col min="1" max="2" width="14.7109375" customWidth="1"/>
    <col min="3" max="4" width="40.7109375" customWidth="1"/>
    <col min="5" max="6" width="10.7109375" style="3" bestFit="1" customWidth="1"/>
    <col min="7" max="9" width="40.7109375" customWidth="1"/>
  </cols>
  <sheetData>
    <row r="1" spans="1:9" x14ac:dyDescent="0.25">
      <c r="A1" t="s">
        <v>1666</v>
      </c>
      <c r="B1" t="s">
        <v>1667</v>
      </c>
      <c r="C1" t="s">
        <v>1668</v>
      </c>
      <c r="D1" t="s">
        <v>1669</v>
      </c>
      <c r="E1" s="3" t="s">
        <v>1670</v>
      </c>
      <c r="F1" s="3" t="s">
        <v>1671</v>
      </c>
      <c r="G1" t="s">
        <v>1672</v>
      </c>
      <c r="H1" t="s">
        <v>1673</v>
      </c>
      <c r="I1" t="s">
        <v>1674</v>
      </c>
    </row>
    <row r="2" spans="1:9" x14ac:dyDescent="0.25">
      <c r="A2" t="s">
        <v>2</v>
      </c>
      <c r="B2" t="str">
        <f>"03051000      "</f>
        <v xml:space="preserve">03051000      </v>
      </c>
      <c r="C2" t="s">
        <v>5</v>
      </c>
      <c r="E2" s="3">
        <v>41122</v>
      </c>
      <c r="F2" s="3">
        <v>44562</v>
      </c>
      <c r="G2" t="s">
        <v>6</v>
      </c>
      <c r="H2" t="s">
        <v>7</v>
      </c>
      <c r="I2" t="s">
        <v>8</v>
      </c>
    </row>
    <row r="3" spans="1:9" x14ac:dyDescent="0.25">
      <c r="A3" t="s">
        <v>2</v>
      </c>
      <c r="B3" t="str">
        <f>"03072100      "</f>
        <v xml:space="preserve">03072100      </v>
      </c>
      <c r="C3" t="s">
        <v>9</v>
      </c>
      <c r="E3" s="3">
        <v>41122</v>
      </c>
      <c r="F3" s="3">
        <v>44562</v>
      </c>
      <c r="G3" t="s">
        <v>6</v>
      </c>
      <c r="H3" t="s">
        <v>10</v>
      </c>
      <c r="I3" t="s">
        <v>11</v>
      </c>
    </row>
    <row r="4" spans="1:9" x14ac:dyDescent="0.25">
      <c r="A4" t="s">
        <v>12</v>
      </c>
      <c r="B4" t="str">
        <f>"03072110      "</f>
        <v xml:space="preserve">03072110      </v>
      </c>
      <c r="C4" t="s">
        <v>13</v>
      </c>
      <c r="D4" t="s">
        <v>14</v>
      </c>
      <c r="E4" s="3">
        <v>44562</v>
      </c>
      <c r="G4" t="s">
        <v>6</v>
      </c>
      <c r="H4" t="s">
        <v>10</v>
      </c>
      <c r="I4" t="s">
        <v>11</v>
      </c>
    </row>
    <row r="5" spans="1:9" x14ac:dyDescent="0.25">
      <c r="A5" t="s">
        <v>12</v>
      </c>
      <c r="B5" t="str">
        <f>"03072190      "</f>
        <v xml:space="preserve">03072190      </v>
      </c>
      <c r="C5" t="s">
        <v>15</v>
      </c>
      <c r="D5" t="s">
        <v>16</v>
      </c>
      <c r="E5" s="3">
        <v>44562</v>
      </c>
      <c r="G5" t="s">
        <v>6</v>
      </c>
      <c r="H5" t="s">
        <v>10</v>
      </c>
      <c r="I5" t="s">
        <v>11</v>
      </c>
    </row>
    <row r="6" spans="1:9" x14ac:dyDescent="0.25">
      <c r="A6" t="s">
        <v>12</v>
      </c>
      <c r="B6" t="str">
        <f>"03072295      "</f>
        <v xml:space="preserve">03072295      </v>
      </c>
      <c r="C6" t="s">
        <v>17</v>
      </c>
      <c r="D6" t="s">
        <v>16</v>
      </c>
      <c r="E6" s="3">
        <v>44562</v>
      </c>
      <c r="G6" t="s">
        <v>6</v>
      </c>
      <c r="H6" t="s">
        <v>10</v>
      </c>
      <c r="I6" t="s">
        <v>18</v>
      </c>
    </row>
    <row r="7" spans="1:9" x14ac:dyDescent="0.25">
      <c r="A7" t="s">
        <v>2</v>
      </c>
      <c r="B7" t="str">
        <f>"03072900      "</f>
        <v xml:space="preserve">03072900      </v>
      </c>
      <c r="C7" t="s">
        <v>19</v>
      </c>
      <c r="E7" s="3">
        <v>42736</v>
      </c>
      <c r="F7" s="3">
        <v>44562</v>
      </c>
      <c r="G7" t="s">
        <v>6</v>
      </c>
      <c r="H7" t="s">
        <v>10</v>
      </c>
      <c r="I7" t="s">
        <v>20</v>
      </c>
    </row>
    <row r="8" spans="1:9" x14ac:dyDescent="0.25">
      <c r="A8" t="s">
        <v>12</v>
      </c>
      <c r="B8" t="str">
        <f>"03072910      "</f>
        <v xml:space="preserve">03072910      </v>
      </c>
      <c r="C8" t="s">
        <v>21</v>
      </c>
      <c r="D8" t="s">
        <v>14</v>
      </c>
      <c r="E8" s="3">
        <v>44562</v>
      </c>
      <c r="G8" t="s">
        <v>6</v>
      </c>
      <c r="H8" t="s">
        <v>10</v>
      </c>
      <c r="I8" t="s">
        <v>20</v>
      </c>
    </row>
    <row r="9" spans="1:9" x14ac:dyDescent="0.25">
      <c r="A9" t="s">
        <v>12</v>
      </c>
      <c r="B9" t="str">
        <f>"03072990      "</f>
        <v xml:space="preserve">03072990      </v>
      </c>
      <c r="C9" t="s">
        <v>22</v>
      </c>
      <c r="D9" t="s">
        <v>16</v>
      </c>
      <c r="E9" s="3">
        <v>44562</v>
      </c>
      <c r="G9" t="s">
        <v>6</v>
      </c>
      <c r="H9" t="s">
        <v>10</v>
      </c>
      <c r="I9" t="s">
        <v>20</v>
      </c>
    </row>
    <row r="10" spans="1:9" x14ac:dyDescent="0.25">
      <c r="A10" t="s">
        <v>12</v>
      </c>
      <c r="B10" t="str">
        <f>"03091000      "</f>
        <v xml:space="preserve">03091000      </v>
      </c>
      <c r="C10" t="s">
        <v>23</v>
      </c>
      <c r="D10" t="s">
        <v>24</v>
      </c>
      <c r="E10" s="3">
        <v>44562</v>
      </c>
      <c r="G10" t="s">
        <v>6</v>
      </c>
      <c r="H10" t="s">
        <v>25</v>
      </c>
    </row>
    <row r="11" spans="1:9" x14ac:dyDescent="0.25">
      <c r="A11" t="s">
        <v>12</v>
      </c>
      <c r="B11" t="str">
        <f>"03099000      "</f>
        <v xml:space="preserve">03099000      </v>
      </c>
      <c r="C11" t="s">
        <v>26</v>
      </c>
      <c r="D11" t="s">
        <v>16</v>
      </c>
      <c r="E11" s="3">
        <v>44562</v>
      </c>
      <c r="G11" t="s">
        <v>6</v>
      </c>
      <c r="H11" t="s">
        <v>25</v>
      </c>
    </row>
    <row r="12" spans="1:9" x14ac:dyDescent="0.25">
      <c r="A12" t="s">
        <v>2</v>
      </c>
      <c r="B12" t="str">
        <f>"04031011      "</f>
        <v xml:space="preserve">04031011      </v>
      </c>
      <c r="C12" t="s">
        <v>27</v>
      </c>
      <c r="E12" s="3">
        <v>41122</v>
      </c>
      <c r="F12" s="3">
        <v>44562</v>
      </c>
      <c r="G12" t="s">
        <v>28</v>
      </c>
      <c r="H12" t="s">
        <v>29</v>
      </c>
      <c r="I12" t="s">
        <v>30</v>
      </c>
    </row>
    <row r="13" spans="1:9" x14ac:dyDescent="0.25">
      <c r="A13" t="s">
        <v>2</v>
      </c>
      <c r="B13" t="str">
        <f>"04031013      "</f>
        <v xml:space="preserve">04031013      </v>
      </c>
      <c r="C13" t="s">
        <v>31</v>
      </c>
      <c r="E13" s="3">
        <v>41122</v>
      </c>
      <c r="F13" s="3">
        <v>44562</v>
      </c>
      <c r="G13" t="s">
        <v>28</v>
      </c>
      <c r="H13" t="s">
        <v>29</v>
      </c>
      <c r="I13" t="s">
        <v>30</v>
      </c>
    </row>
    <row r="14" spans="1:9" x14ac:dyDescent="0.25">
      <c r="A14" t="s">
        <v>2</v>
      </c>
      <c r="B14" t="str">
        <f>"04031019      "</f>
        <v xml:space="preserve">04031019      </v>
      </c>
      <c r="C14" t="s">
        <v>32</v>
      </c>
      <c r="E14" s="3">
        <v>41122</v>
      </c>
      <c r="F14" s="3">
        <v>44562</v>
      </c>
      <c r="G14" t="s">
        <v>28</v>
      </c>
      <c r="H14" t="s">
        <v>29</v>
      </c>
      <c r="I14" t="s">
        <v>30</v>
      </c>
    </row>
    <row r="15" spans="1:9" x14ac:dyDescent="0.25">
      <c r="A15" t="s">
        <v>2</v>
      </c>
      <c r="B15" t="str">
        <f>"04031031      "</f>
        <v xml:space="preserve">04031031      </v>
      </c>
      <c r="C15" t="s">
        <v>33</v>
      </c>
      <c r="E15" s="3">
        <v>41122</v>
      </c>
      <c r="F15" s="3">
        <v>44562</v>
      </c>
      <c r="G15" t="s">
        <v>28</v>
      </c>
      <c r="H15" t="s">
        <v>29</v>
      </c>
      <c r="I15" t="s">
        <v>30</v>
      </c>
    </row>
    <row r="16" spans="1:9" x14ac:dyDescent="0.25">
      <c r="A16" t="s">
        <v>2</v>
      </c>
      <c r="B16" t="str">
        <f>"04031033      "</f>
        <v xml:space="preserve">04031033      </v>
      </c>
      <c r="C16" t="s">
        <v>34</v>
      </c>
      <c r="E16" s="3">
        <v>41122</v>
      </c>
      <c r="F16" s="3">
        <v>44562</v>
      </c>
      <c r="G16" t="s">
        <v>28</v>
      </c>
      <c r="H16" t="s">
        <v>29</v>
      </c>
      <c r="I16" t="s">
        <v>30</v>
      </c>
    </row>
    <row r="17" spans="1:9" x14ac:dyDescent="0.25">
      <c r="A17" t="s">
        <v>2</v>
      </c>
      <c r="B17" t="str">
        <f>"04031039      "</f>
        <v xml:space="preserve">04031039      </v>
      </c>
      <c r="C17" t="s">
        <v>35</v>
      </c>
      <c r="E17" s="3">
        <v>41122</v>
      </c>
      <c r="F17" s="3">
        <v>44562</v>
      </c>
      <c r="G17" t="s">
        <v>28</v>
      </c>
      <c r="H17" t="s">
        <v>29</v>
      </c>
      <c r="I17" t="s">
        <v>30</v>
      </c>
    </row>
    <row r="18" spans="1:9" x14ac:dyDescent="0.25">
      <c r="A18" t="s">
        <v>2</v>
      </c>
      <c r="B18" t="str">
        <f>"04031051      "</f>
        <v xml:space="preserve">04031051      </v>
      </c>
      <c r="C18" t="s">
        <v>36</v>
      </c>
      <c r="E18" s="3">
        <v>41122</v>
      </c>
      <c r="F18" s="3">
        <v>44562</v>
      </c>
      <c r="G18" t="s">
        <v>28</v>
      </c>
      <c r="H18" t="s">
        <v>29</v>
      </c>
      <c r="I18" t="s">
        <v>30</v>
      </c>
    </row>
    <row r="19" spans="1:9" x14ac:dyDescent="0.25">
      <c r="A19" t="s">
        <v>2</v>
      </c>
      <c r="B19" t="str">
        <f>"04031053      "</f>
        <v xml:space="preserve">04031053      </v>
      </c>
      <c r="C19" t="s">
        <v>37</v>
      </c>
      <c r="E19" s="3">
        <v>41122</v>
      </c>
      <c r="F19" s="3">
        <v>44562</v>
      </c>
      <c r="G19" t="s">
        <v>28</v>
      </c>
      <c r="H19" t="s">
        <v>29</v>
      </c>
      <c r="I19" t="s">
        <v>30</v>
      </c>
    </row>
    <row r="20" spans="1:9" x14ac:dyDescent="0.25">
      <c r="A20" t="s">
        <v>2</v>
      </c>
      <c r="B20" t="str">
        <f>"04031059      "</f>
        <v xml:space="preserve">04031059      </v>
      </c>
      <c r="C20" t="s">
        <v>38</v>
      </c>
      <c r="E20" s="3">
        <v>41122</v>
      </c>
      <c r="F20" s="3">
        <v>44562</v>
      </c>
      <c r="G20" t="s">
        <v>28</v>
      </c>
      <c r="H20" t="s">
        <v>29</v>
      </c>
      <c r="I20" t="s">
        <v>30</v>
      </c>
    </row>
    <row r="21" spans="1:9" x14ac:dyDescent="0.25">
      <c r="A21" t="s">
        <v>2</v>
      </c>
      <c r="B21" t="str">
        <f>"04031091      "</f>
        <v xml:space="preserve">04031091      </v>
      </c>
      <c r="C21" t="s">
        <v>39</v>
      </c>
      <c r="E21" s="3">
        <v>41122</v>
      </c>
      <c r="F21" s="3">
        <v>44562</v>
      </c>
      <c r="G21" t="s">
        <v>28</v>
      </c>
      <c r="H21" t="s">
        <v>29</v>
      </c>
      <c r="I21" t="s">
        <v>30</v>
      </c>
    </row>
    <row r="22" spans="1:9" x14ac:dyDescent="0.25">
      <c r="A22" t="s">
        <v>2</v>
      </c>
      <c r="B22" t="str">
        <f>"04031093      "</f>
        <v xml:space="preserve">04031093      </v>
      </c>
      <c r="C22" t="s">
        <v>40</v>
      </c>
      <c r="E22" s="3">
        <v>41122</v>
      </c>
      <c r="F22" s="3">
        <v>44562</v>
      </c>
      <c r="G22" t="s">
        <v>28</v>
      </c>
      <c r="H22" t="s">
        <v>29</v>
      </c>
      <c r="I22" t="s">
        <v>30</v>
      </c>
    </row>
    <row r="23" spans="1:9" x14ac:dyDescent="0.25">
      <c r="A23" t="s">
        <v>2</v>
      </c>
      <c r="B23" t="str">
        <f>"04031099      "</f>
        <v xml:space="preserve">04031099      </v>
      </c>
      <c r="C23" t="s">
        <v>41</v>
      </c>
      <c r="E23" s="3">
        <v>41122</v>
      </c>
      <c r="F23" s="3">
        <v>44562</v>
      </c>
      <c r="G23" t="s">
        <v>28</v>
      </c>
      <c r="H23" t="s">
        <v>29</v>
      </c>
      <c r="I23" t="s">
        <v>30</v>
      </c>
    </row>
    <row r="24" spans="1:9" x14ac:dyDescent="0.25">
      <c r="A24" t="s">
        <v>12</v>
      </c>
      <c r="B24" t="str">
        <f>"04032011      "</f>
        <v xml:space="preserve">04032011      </v>
      </c>
      <c r="C24" t="s">
        <v>42</v>
      </c>
      <c r="D24" t="s">
        <v>43</v>
      </c>
      <c r="E24" s="3">
        <v>44562</v>
      </c>
      <c r="G24" t="s">
        <v>28</v>
      </c>
      <c r="H24" t="s">
        <v>29</v>
      </c>
    </row>
    <row r="25" spans="1:9" x14ac:dyDescent="0.25">
      <c r="A25" t="s">
        <v>12</v>
      </c>
      <c r="B25" t="str">
        <f>"04032013      "</f>
        <v xml:space="preserve">04032013      </v>
      </c>
      <c r="C25" t="s">
        <v>44</v>
      </c>
      <c r="D25" t="s">
        <v>45</v>
      </c>
      <c r="E25" s="3">
        <v>44562</v>
      </c>
      <c r="G25" t="s">
        <v>28</v>
      </c>
      <c r="H25" t="s">
        <v>29</v>
      </c>
    </row>
    <row r="26" spans="1:9" x14ac:dyDescent="0.25">
      <c r="A26" t="s">
        <v>12</v>
      </c>
      <c r="B26" t="str">
        <f>"04032019      "</f>
        <v xml:space="preserve">04032019      </v>
      </c>
      <c r="C26" t="s">
        <v>46</v>
      </c>
      <c r="D26" t="s">
        <v>47</v>
      </c>
      <c r="E26" s="3">
        <v>44562</v>
      </c>
      <c r="G26" t="s">
        <v>28</v>
      </c>
      <c r="H26" t="s">
        <v>29</v>
      </c>
    </row>
    <row r="27" spans="1:9" x14ac:dyDescent="0.25">
      <c r="A27" t="s">
        <v>12</v>
      </c>
      <c r="B27" t="str">
        <f>"04032031      "</f>
        <v xml:space="preserve">04032031      </v>
      </c>
      <c r="C27" t="s">
        <v>48</v>
      </c>
      <c r="D27" t="s">
        <v>49</v>
      </c>
      <c r="E27" s="3">
        <v>44562</v>
      </c>
      <c r="G27" t="s">
        <v>28</v>
      </c>
      <c r="H27" t="s">
        <v>29</v>
      </c>
    </row>
    <row r="28" spans="1:9" x14ac:dyDescent="0.25">
      <c r="A28" t="s">
        <v>12</v>
      </c>
      <c r="B28" t="str">
        <f>"04032033      "</f>
        <v xml:space="preserve">04032033      </v>
      </c>
      <c r="C28" t="s">
        <v>50</v>
      </c>
      <c r="D28" t="s">
        <v>51</v>
      </c>
      <c r="E28" s="3">
        <v>44562</v>
      </c>
      <c r="G28" t="s">
        <v>28</v>
      </c>
      <c r="H28" t="s">
        <v>29</v>
      </c>
    </row>
    <row r="29" spans="1:9" x14ac:dyDescent="0.25">
      <c r="A29" t="s">
        <v>12</v>
      </c>
      <c r="B29" t="str">
        <f>"04032039      "</f>
        <v xml:space="preserve">04032039      </v>
      </c>
      <c r="C29" t="s">
        <v>52</v>
      </c>
      <c r="D29" t="s">
        <v>53</v>
      </c>
      <c r="E29" s="3">
        <v>44562</v>
      </c>
      <c r="G29" t="s">
        <v>28</v>
      </c>
      <c r="H29" t="s">
        <v>29</v>
      </c>
    </row>
    <row r="30" spans="1:9" x14ac:dyDescent="0.25">
      <c r="A30" t="s">
        <v>12</v>
      </c>
      <c r="B30" t="str">
        <f>"04032041      "</f>
        <v xml:space="preserve">04032041      </v>
      </c>
      <c r="C30" t="s">
        <v>54</v>
      </c>
      <c r="D30" t="s">
        <v>55</v>
      </c>
      <c r="E30" s="3">
        <v>44562</v>
      </c>
      <c r="G30" t="s">
        <v>28</v>
      </c>
      <c r="H30" t="s">
        <v>29</v>
      </c>
    </row>
    <row r="31" spans="1:9" x14ac:dyDescent="0.25">
      <c r="A31" t="s">
        <v>12</v>
      </c>
      <c r="B31" t="str">
        <f>"04032049      "</f>
        <v xml:space="preserve">04032049      </v>
      </c>
      <c r="C31" t="s">
        <v>56</v>
      </c>
      <c r="D31" t="s">
        <v>57</v>
      </c>
      <c r="E31" s="3">
        <v>44562</v>
      </c>
      <c r="G31" t="s">
        <v>28</v>
      </c>
      <c r="H31" t="s">
        <v>29</v>
      </c>
    </row>
    <row r="32" spans="1:9" x14ac:dyDescent="0.25">
      <c r="A32" t="s">
        <v>12</v>
      </c>
      <c r="B32" t="str">
        <f>"04032051      "</f>
        <v xml:space="preserve">04032051      </v>
      </c>
      <c r="C32" t="s">
        <v>58</v>
      </c>
      <c r="D32" t="s">
        <v>59</v>
      </c>
      <c r="E32" s="3">
        <v>44562</v>
      </c>
      <c r="G32" t="s">
        <v>28</v>
      </c>
      <c r="H32" t="s">
        <v>29</v>
      </c>
    </row>
    <row r="33" spans="1:9" x14ac:dyDescent="0.25">
      <c r="A33" t="s">
        <v>12</v>
      </c>
      <c r="B33" t="str">
        <f>"04032053      "</f>
        <v xml:space="preserve">04032053      </v>
      </c>
      <c r="C33" t="s">
        <v>60</v>
      </c>
      <c r="D33" t="s">
        <v>61</v>
      </c>
      <c r="E33" s="3">
        <v>44562</v>
      </c>
      <c r="G33" t="s">
        <v>28</v>
      </c>
      <c r="H33" t="s">
        <v>29</v>
      </c>
    </row>
    <row r="34" spans="1:9" x14ac:dyDescent="0.25">
      <c r="A34" t="s">
        <v>12</v>
      </c>
      <c r="B34" t="str">
        <f>"04032059      "</f>
        <v xml:space="preserve">04032059      </v>
      </c>
      <c r="C34" t="s">
        <v>62</v>
      </c>
      <c r="D34" t="s">
        <v>63</v>
      </c>
      <c r="E34" s="3">
        <v>44562</v>
      </c>
      <c r="G34" t="s">
        <v>28</v>
      </c>
      <c r="H34" t="s">
        <v>29</v>
      </c>
    </row>
    <row r="35" spans="1:9" x14ac:dyDescent="0.25">
      <c r="A35" t="s">
        <v>12</v>
      </c>
      <c r="B35" t="str">
        <f>"04032091      "</f>
        <v xml:space="preserve">04032091      </v>
      </c>
      <c r="C35" t="s">
        <v>64</v>
      </c>
      <c r="D35" t="s">
        <v>65</v>
      </c>
      <c r="E35" s="3">
        <v>44562</v>
      </c>
      <c r="G35" t="s">
        <v>28</v>
      </c>
      <c r="H35" t="s">
        <v>29</v>
      </c>
    </row>
    <row r="36" spans="1:9" x14ac:dyDescent="0.25">
      <c r="A36" t="s">
        <v>12</v>
      </c>
      <c r="B36" t="str">
        <f>"04032093      "</f>
        <v xml:space="preserve">04032093      </v>
      </c>
      <c r="C36" t="s">
        <v>66</v>
      </c>
      <c r="D36" t="s">
        <v>67</v>
      </c>
      <c r="E36" s="3">
        <v>44562</v>
      </c>
      <c r="G36" t="s">
        <v>28</v>
      </c>
      <c r="H36" t="s">
        <v>29</v>
      </c>
    </row>
    <row r="37" spans="1:9" x14ac:dyDescent="0.25">
      <c r="A37" t="s">
        <v>12</v>
      </c>
      <c r="B37" t="str">
        <f>"04032099      "</f>
        <v xml:space="preserve">04032099      </v>
      </c>
      <c r="C37" t="s">
        <v>68</v>
      </c>
      <c r="D37" t="s">
        <v>69</v>
      </c>
      <c r="E37" s="3">
        <v>44562</v>
      </c>
      <c r="G37" t="s">
        <v>28</v>
      </c>
      <c r="H37" t="s">
        <v>29</v>
      </c>
    </row>
    <row r="38" spans="1:9" x14ac:dyDescent="0.25">
      <c r="A38" t="s">
        <v>2</v>
      </c>
      <c r="B38" t="str">
        <f>"04100000      "</f>
        <v xml:space="preserve">04100000      </v>
      </c>
      <c r="C38" t="s">
        <v>70</v>
      </c>
      <c r="E38" s="3">
        <v>41122</v>
      </c>
      <c r="F38" s="3">
        <v>44562</v>
      </c>
      <c r="G38" t="s">
        <v>28</v>
      </c>
      <c r="H38" t="s">
        <v>71</v>
      </c>
      <c r="I38" t="s">
        <v>72</v>
      </c>
    </row>
    <row r="39" spans="1:9" x14ac:dyDescent="0.25">
      <c r="A39" t="s">
        <v>12</v>
      </c>
      <c r="B39" t="str">
        <f>"04101010      "</f>
        <v xml:space="preserve">04101010      </v>
      </c>
      <c r="C39" t="s">
        <v>73</v>
      </c>
      <c r="D39" t="s">
        <v>74</v>
      </c>
      <c r="E39" s="3">
        <v>44562</v>
      </c>
      <c r="G39" t="s">
        <v>28</v>
      </c>
      <c r="H39" t="s">
        <v>71</v>
      </c>
    </row>
    <row r="40" spans="1:9" x14ac:dyDescent="0.25">
      <c r="A40" t="s">
        <v>12</v>
      </c>
      <c r="B40" t="str">
        <f>"04101091      "</f>
        <v xml:space="preserve">04101091      </v>
      </c>
      <c r="C40" t="s">
        <v>75</v>
      </c>
      <c r="D40" t="s">
        <v>76</v>
      </c>
      <c r="E40" s="3">
        <v>44562</v>
      </c>
      <c r="G40" t="s">
        <v>28</v>
      </c>
      <c r="H40" t="s">
        <v>71</v>
      </c>
    </row>
    <row r="41" spans="1:9" x14ac:dyDescent="0.25">
      <c r="A41" t="s">
        <v>12</v>
      </c>
      <c r="B41" t="str">
        <f>"04101099      "</f>
        <v xml:space="preserve">04101099      </v>
      </c>
      <c r="C41" t="s">
        <v>77</v>
      </c>
      <c r="D41" t="s">
        <v>78</v>
      </c>
      <c r="E41" s="3">
        <v>44562</v>
      </c>
      <c r="G41" t="s">
        <v>28</v>
      </c>
      <c r="H41" t="s">
        <v>71</v>
      </c>
    </row>
    <row r="42" spans="1:9" x14ac:dyDescent="0.25">
      <c r="A42" t="s">
        <v>12</v>
      </c>
      <c r="B42" t="str">
        <f>"04109000      "</f>
        <v xml:space="preserve">04109000      </v>
      </c>
      <c r="C42" t="s">
        <v>79</v>
      </c>
      <c r="D42" t="s">
        <v>16</v>
      </c>
      <c r="E42" s="3">
        <v>44562</v>
      </c>
      <c r="G42" t="s">
        <v>28</v>
      </c>
      <c r="H42" t="s">
        <v>71</v>
      </c>
    </row>
    <row r="43" spans="1:9" x14ac:dyDescent="0.25">
      <c r="A43" t="s">
        <v>2</v>
      </c>
      <c r="B43" t="str">
        <f>"07041000      "</f>
        <v xml:space="preserve">07041000      </v>
      </c>
      <c r="C43" t="s">
        <v>80</v>
      </c>
      <c r="E43" s="3">
        <v>41122</v>
      </c>
      <c r="F43" s="3">
        <v>44562</v>
      </c>
      <c r="G43" t="s">
        <v>81</v>
      </c>
      <c r="H43" t="s">
        <v>82</v>
      </c>
      <c r="I43" t="s">
        <v>83</v>
      </c>
    </row>
    <row r="44" spans="1:9" x14ac:dyDescent="0.25">
      <c r="A44" t="s">
        <v>12</v>
      </c>
      <c r="B44" t="str">
        <f>"07041010      "</f>
        <v xml:space="preserve">07041010      </v>
      </c>
      <c r="C44" t="s">
        <v>84</v>
      </c>
      <c r="D44" t="s">
        <v>83</v>
      </c>
      <c r="E44" s="3">
        <v>44562</v>
      </c>
      <c r="G44" t="s">
        <v>81</v>
      </c>
      <c r="H44" t="s">
        <v>82</v>
      </c>
      <c r="I44" t="s">
        <v>83</v>
      </c>
    </row>
    <row r="45" spans="1:9" x14ac:dyDescent="0.25">
      <c r="A45" t="s">
        <v>12</v>
      </c>
      <c r="B45" t="str">
        <f>"07041090      "</f>
        <v xml:space="preserve">07041090      </v>
      </c>
      <c r="C45" t="s">
        <v>85</v>
      </c>
      <c r="D45" t="s">
        <v>16</v>
      </c>
      <c r="E45" s="3">
        <v>44562</v>
      </c>
      <c r="G45" t="s">
        <v>81</v>
      </c>
      <c r="H45" t="s">
        <v>82</v>
      </c>
      <c r="I45" t="s">
        <v>83</v>
      </c>
    </row>
    <row r="46" spans="1:9" x14ac:dyDescent="0.25">
      <c r="A46" t="s">
        <v>12</v>
      </c>
      <c r="B46" t="str">
        <f>"07095200      "</f>
        <v xml:space="preserve">07095200      </v>
      </c>
      <c r="C46" t="s">
        <v>86</v>
      </c>
      <c r="D46" t="s">
        <v>87</v>
      </c>
      <c r="E46" s="3">
        <v>44562</v>
      </c>
      <c r="G46" t="s">
        <v>81</v>
      </c>
      <c r="H46" t="s">
        <v>88</v>
      </c>
      <c r="I46" t="s">
        <v>89</v>
      </c>
    </row>
    <row r="47" spans="1:9" x14ac:dyDescent="0.25">
      <c r="A47" t="s">
        <v>12</v>
      </c>
      <c r="B47" t="str">
        <f>"07095300      "</f>
        <v xml:space="preserve">07095300      </v>
      </c>
      <c r="C47" t="s">
        <v>90</v>
      </c>
      <c r="D47" t="s">
        <v>91</v>
      </c>
      <c r="E47" s="3">
        <v>44562</v>
      </c>
      <c r="G47" t="s">
        <v>81</v>
      </c>
      <c r="H47" t="s">
        <v>88</v>
      </c>
      <c r="I47" t="s">
        <v>89</v>
      </c>
    </row>
    <row r="48" spans="1:9" x14ac:dyDescent="0.25">
      <c r="A48" t="s">
        <v>12</v>
      </c>
      <c r="B48" t="str">
        <f>"07095400      "</f>
        <v xml:space="preserve">07095400      </v>
      </c>
      <c r="C48" t="s">
        <v>92</v>
      </c>
      <c r="D48" t="s">
        <v>93</v>
      </c>
      <c r="E48" s="3">
        <v>44562</v>
      </c>
      <c r="G48" t="s">
        <v>81</v>
      </c>
      <c r="H48" t="s">
        <v>88</v>
      </c>
      <c r="I48" t="s">
        <v>89</v>
      </c>
    </row>
    <row r="49" spans="1:9" x14ac:dyDescent="0.25">
      <c r="A49" t="s">
        <v>12</v>
      </c>
      <c r="B49" t="str">
        <f>"07095500      "</f>
        <v xml:space="preserve">07095500      </v>
      </c>
      <c r="C49" t="s">
        <v>94</v>
      </c>
      <c r="D49" t="s">
        <v>95</v>
      </c>
      <c r="E49" s="3">
        <v>44562</v>
      </c>
      <c r="G49" t="s">
        <v>81</v>
      </c>
      <c r="H49" t="s">
        <v>88</v>
      </c>
      <c r="I49" t="s">
        <v>89</v>
      </c>
    </row>
    <row r="50" spans="1:9" x14ac:dyDescent="0.25">
      <c r="A50" t="s">
        <v>12</v>
      </c>
      <c r="B50" t="str">
        <f>"07095600      "</f>
        <v xml:space="preserve">07095600      </v>
      </c>
      <c r="C50" t="s">
        <v>96</v>
      </c>
      <c r="D50" t="s">
        <v>97</v>
      </c>
      <c r="E50" s="3">
        <v>44562</v>
      </c>
      <c r="G50" t="s">
        <v>81</v>
      </c>
      <c r="H50" t="s">
        <v>88</v>
      </c>
      <c r="I50" t="s">
        <v>89</v>
      </c>
    </row>
    <row r="51" spans="1:9" x14ac:dyDescent="0.25">
      <c r="A51" t="s">
        <v>12</v>
      </c>
      <c r="B51" t="str">
        <f>"07095900      "</f>
        <v xml:space="preserve">07095900      </v>
      </c>
      <c r="C51" t="s">
        <v>98</v>
      </c>
      <c r="D51" t="s">
        <v>99</v>
      </c>
      <c r="E51" s="3">
        <v>44562</v>
      </c>
      <c r="G51" t="s">
        <v>81</v>
      </c>
      <c r="H51" t="s">
        <v>88</v>
      </c>
      <c r="I51" t="s">
        <v>100</v>
      </c>
    </row>
    <row r="52" spans="1:9" x14ac:dyDescent="0.25">
      <c r="A52" t="s">
        <v>2</v>
      </c>
      <c r="B52" t="str">
        <f>"07095910      "</f>
        <v xml:space="preserve">07095910      </v>
      </c>
      <c r="C52" t="s">
        <v>101</v>
      </c>
      <c r="E52" s="3">
        <v>41122</v>
      </c>
      <c r="F52" s="3">
        <v>44562</v>
      </c>
      <c r="G52" t="s">
        <v>81</v>
      </c>
      <c r="H52" t="s">
        <v>88</v>
      </c>
      <c r="I52" t="s">
        <v>100</v>
      </c>
    </row>
    <row r="53" spans="1:9" x14ac:dyDescent="0.25">
      <c r="A53" t="s">
        <v>2</v>
      </c>
      <c r="B53" t="str">
        <f>"07095930      "</f>
        <v xml:space="preserve">07095930      </v>
      </c>
      <c r="C53" t="s">
        <v>102</v>
      </c>
      <c r="E53" s="3">
        <v>41122</v>
      </c>
      <c r="F53" s="3">
        <v>44562</v>
      </c>
      <c r="G53" t="s">
        <v>81</v>
      </c>
      <c r="H53" t="s">
        <v>88</v>
      </c>
      <c r="I53" t="s">
        <v>100</v>
      </c>
    </row>
    <row r="54" spans="1:9" x14ac:dyDescent="0.25">
      <c r="A54" t="s">
        <v>2</v>
      </c>
      <c r="B54" t="str">
        <f>"07095950      "</f>
        <v xml:space="preserve">07095950      </v>
      </c>
      <c r="C54" t="s">
        <v>103</v>
      </c>
      <c r="E54" s="3">
        <v>41122</v>
      </c>
      <c r="F54" s="3">
        <v>44562</v>
      </c>
      <c r="G54" t="s">
        <v>81</v>
      </c>
      <c r="H54" t="s">
        <v>88</v>
      </c>
      <c r="I54" t="s">
        <v>100</v>
      </c>
    </row>
    <row r="55" spans="1:9" x14ac:dyDescent="0.25">
      <c r="A55" t="s">
        <v>2</v>
      </c>
      <c r="B55" t="str">
        <f>"07095990      "</f>
        <v xml:space="preserve">07095990      </v>
      </c>
      <c r="C55" t="s">
        <v>104</v>
      </c>
      <c r="E55" s="3">
        <v>41122</v>
      </c>
      <c r="F55" s="3">
        <v>44562</v>
      </c>
      <c r="G55" t="s">
        <v>81</v>
      </c>
      <c r="H55" t="s">
        <v>88</v>
      </c>
      <c r="I55" t="s">
        <v>100</v>
      </c>
    </row>
    <row r="56" spans="1:9" x14ac:dyDescent="0.25">
      <c r="A56" t="s">
        <v>12</v>
      </c>
      <c r="B56" t="str">
        <f>"07123400      "</f>
        <v xml:space="preserve">07123400      </v>
      </c>
      <c r="C56" t="s">
        <v>105</v>
      </c>
      <c r="D56" t="s">
        <v>106</v>
      </c>
      <c r="E56" s="3">
        <v>44562</v>
      </c>
      <c r="G56" t="s">
        <v>81</v>
      </c>
      <c r="H56" t="s">
        <v>107</v>
      </c>
      <c r="I56" t="s">
        <v>108</v>
      </c>
    </row>
    <row r="57" spans="1:9" x14ac:dyDescent="0.25">
      <c r="A57" t="s">
        <v>2</v>
      </c>
      <c r="B57" t="str">
        <f>"08029010      "</f>
        <v xml:space="preserve">08029010      </v>
      </c>
      <c r="C57" t="s">
        <v>109</v>
      </c>
      <c r="E57" s="3">
        <v>41122</v>
      </c>
      <c r="F57" s="3">
        <v>44562</v>
      </c>
      <c r="G57" t="s">
        <v>110</v>
      </c>
      <c r="H57" t="s">
        <v>111</v>
      </c>
      <c r="I57" t="s">
        <v>16</v>
      </c>
    </row>
    <row r="58" spans="1:9" x14ac:dyDescent="0.25">
      <c r="A58" t="s">
        <v>2</v>
      </c>
      <c r="B58" t="str">
        <f>"08029050      "</f>
        <v xml:space="preserve">08029050      </v>
      </c>
      <c r="C58" t="s">
        <v>112</v>
      </c>
      <c r="E58" s="3">
        <v>41122</v>
      </c>
      <c r="F58" s="3">
        <v>44562</v>
      </c>
      <c r="G58" t="s">
        <v>110</v>
      </c>
      <c r="H58" t="s">
        <v>111</v>
      </c>
      <c r="I58" t="s">
        <v>16</v>
      </c>
    </row>
    <row r="59" spans="1:9" x14ac:dyDescent="0.25">
      <c r="A59" t="s">
        <v>2</v>
      </c>
      <c r="B59" t="str">
        <f>"08029085      "</f>
        <v xml:space="preserve">08029085      </v>
      </c>
      <c r="C59" t="s">
        <v>113</v>
      </c>
      <c r="E59" s="3">
        <v>41122</v>
      </c>
      <c r="F59" s="3">
        <v>44562</v>
      </c>
      <c r="G59" t="s">
        <v>110</v>
      </c>
      <c r="H59" t="s">
        <v>111</v>
      </c>
      <c r="I59" t="s">
        <v>16</v>
      </c>
    </row>
    <row r="60" spans="1:9" x14ac:dyDescent="0.25">
      <c r="A60" t="s">
        <v>12</v>
      </c>
      <c r="B60" t="str">
        <f>"08029100      "</f>
        <v xml:space="preserve">08029100      </v>
      </c>
      <c r="C60" t="s">
        <v>114</v>
      </c>
      <c r="D60" t="s">
        <v>115</v>
      </c>
      <c r="E60" s="3">
        <v>44562</v>
      </c>
      <c r="G60" t="s">
        <v>110</v>
      </c>
      <c r="H60" t="s">
        <v>111</v>
      </c>
    </row>
    <row r="61" spans="1:9" x14ac:dyDescent="0.25">
      <c r="A61" t="s">
        <v>12</v>
      </c>
      <c r="B61" t="str">
        <f>"08029200      "</f>
        <v xml:space="preserve">08029200      </v>
      </c>
      <c r="C61" t="s">
        <v>116</v>
      </c>
      <c r="D61" t="s">
        <v>117</v>
      </c>
      <c r="E61" s="3">
        <v>44562</v>
      </c>
      <c r="G61" t="s">
        <v>110</v>
      </c>
      <c r="H61" t="s">
        <v>111</v>
      </c>
    </row>
    <row r="62" spans="1:9" x14ac:dyDescent="0.25">
      <c r="A62" t="s">
        <v>12</v>
      </c>
      <c r="B62" t="str">
        <f>"08029910      "</f>
        <v xml:space="preserve">08029910      </v>
      </c>
      <c r="C62" t="s">
        <v>118</v>
      </c>
      <c r="D62" t="s">
        <v>119</v>
      </c>
      <c r="E62" s="3">
        <v>44562</v>
      </c>
      <c r="G62" t="s">
        <v>110</v>
      </c>
      <c r="H62" t="s">
        <v>111</v>
      </c>
    </row>
    <row r="63" spans="1:9" x14ac:dyDescent="0.25">
      <c r="A63" t="s">
        <v>12</v>
      </c>
      <c r="B63" t="str">
        <f>"08029990      "</f>
        <v xml:space="preserve">08029990      </v>
      </c>
      <c r="C63" t="s">
        <v>120</v>
      </c>
      <c r="D63" t="s">
        <v>16</v>
      </c>
      <c r="E63" s="3">
        <v>44562</v>
      </c>
      <c r="G63" t="s">
        <v>110</v>
      </c>
      <c r="H63" t="s">
        <v>111</v>
      </c>
    </row>
    <row r="64" spans="1:9" x14ac:dyDescent="0.25">
      <c r="A64" t="s">
        <v>12</v>
      </c>
      <c r="B64" t="str">
        <f>"12116000      "</f>
        <v xml:space="preserve">12116000      </v>
      </c>
      <c r="C64" t="s">
        <v>121</v>
      </c>
      <c r="D64" t="s">
        <v>122</v>
      </c>
      <c r="E64" s="3">
        <v>44562</v>
      </c>
      <c r="G64" t="s">
        <v>123</v>
      </c>
      <c r="H64" t="s">
        <v>124</v>
      </c>
    </row>
    <row r="65" spans="1:9" x14ac:dyDescent="0.25">
      <c r="A65" t="s">
        <v>2</v>
      </c>
      <c r="B65" t="str">
        <f>"15091010      "</f>
        <v xml:space="preserve">15091010      </v>
      </c>
      <c r="C65" t="s">
        <v>125</v>
      </c>
      <c r="E65" s="3">
        <v>41122</v>
      </c>
      <c r="F65" s="3">
        <v>44562</v>
      </c>
      <c r="G65" t="s">
        <v>126</v>
      </c>
      <c r="H65" t="s">
        <v>127</v>
      </c>
      <c r="I65" t="s">
        <v>128</v>
      </c>
    </row>
    <row r="66" spans="1:9" x14ac:dyDescent="0.25">
      <c r="A66" t="s">
        <v>2</v>
      </c>
      <c r="B66" t="str">
        <f>"15091020      "</f>
        <v xml:space="preserve">15091020      </v>
      </c>
      <c r="C66" t="s">
        <v>129</v>
      </c>
      <c r="E66" s="3">
        <v>42736</v>
      </c>
      <c r="F66" s="3">
        <v>44562</v>
      </c>
      <c r="G66" t="s">
        <v>126</v>
      </c>
      <c r="H66" t="s">
        <v>127</v>
      </c>
      <c r="I66" t="s">
        <v>128</v>
      </c>
    </row>
    <row r="67" spans="1:9" x14ac:dyDescent="0.25">
      <c r="A67" t="s">
        <v>2</v>
      </c>
      <c r="B67" t="str">
        <f>"15091080      "</f>
        <v xml:space="preserve">15091080      </v>
      </c>
      <c r="C67" t="s">
        <v>130</v>
      </c>
      <c r="E67" s="3">
        <v>42736</v>
      </c>
      <c r="F67" s="3">
        <v>44562</v>
      </c>
      <c r="G67" t="s">
        <v>126</v>
      </c>
      <c r="H67" t="s">
        <v>127</v>
      </c>
      <c r="I67" t="s">
        <v>128</v>
      </c>
    </row>
    <row r="68" spans="1:9" x14ac:dyDescent="0.25">
      <c r="A68" t="s">
        <v>12</v>
      </c>
      <c r="B68" t="str">
        <f>"15092000      "</f>
        <v xml:space="preserve">15092000      </v>
      </c>
      <c r="C68" t="s">
        <v>131</v>
      </c>
      <c r="D68" t="s">
        <v>132</v>
      </c>
      <c r="E68" s="3">
        <v>44562</v>
      </c>
      <c r="G68" t="s">
        <v>126</v>
      </c>
      <c r="H68" t="s">
        <v>127</v>
      </c>
    </row>
    <row r="69" spans="1:9" x14ac:dyDescent="0.25">
      <c r="A69" t="s">
        <v>12</v>
      </c>
      <c r="B69" t="str">
        <f>"15093000      "</f>
        <v xml:space="preserve">15093000      </v>
      </c>
      <c r="C69" t="s">
        <v>133</v>
      </c>
      <c r="D69" t="s">
        <v>134</v>
      </c>
      <c r="E69" s="3">
        <v>44562</v>
      </c>
      <c r="G69" t="s">
        <v>126</v>
      </c>
      <c r="H69" t="s">
        <v>127</v>
      </c>
    </row>
    <row r="70" spans="1:9" x14ac:dyDescent="0.25">
      <c r="A70" t="s">
        <v>12</v>
      </c>
      <c r="B70" t="str">
        <f>"15094000      "</f>
        <v xml:space="preserve">15094000      </v>
      </c>
      <c r="C70" t="s">
        <v>135</v>
      </c>
      <c r="D70" t="s">
        <v>136</v>
      </c>
      <c r="E70" s="3">
        <v>44562</v>
      </c>
      <c r="G70" t="s">
        <v>126</v>
      </c>
      <c r="H70" t="s">
        <v>127</v>
      </c>
    </row>
    <row r="71" spans="1:9" x14ac:dyDescent="0.25">
      <c r="A71" t="s">
        <v>2</v>
      </c>
      <c r="B71" t="str">
        <f>"15100010      "</f>
        <v xml:space="preserve">15100010      </v>
      </c>
      <c r="C71" t="s">
        <v>137</v>
      </c>
      <c r="E71" s="3">
        <v>41122</v>
      </c>
      <c r="F71" s="3">
        <v>44562</v>
      </c>
      <c r="G71" t="s">
        <v>126</v>
      </c>
      <c r="H71" t="s">
        <v>138</v>
      </c>
      <c r="I71" t="s">
        <v>139</v>
      </c>
    </row>
    <row r="72" spans="1:9" x14ac:dyDescent="0.25">
      <c r="A72" t="s">
        <v>2</v>
      </c>
      <c r="B72" t="str">
        <f>"15100090      "</f>
        <v xml:space="preserve">15100090      </v>
      </c>
      <c r="C72" t="s">
        <v>140</v>
      </c>
      <c r="E72" s="3">
        <v>41122</v>
      </c>
      <c r="F72" s="3">
        <v>44562</v>
      </c>
      <c r="G72" t="s">
        <v>126</v>
      </c>
      <c r="H72" t="s">
        <v>138</v>
      </c>
      <c r="I72" t="s">
        <v>139</v>
      </c>
    </row>
    <row r="73" spans="1:9" x14ac:dyDescent="0.25">
      <c r="A73" t="s">
        <v>12</v>
      </c>
      <c r="B73" t="str">
        <f>"15101000      "</f>
        <v xml:space="preserve">15101000      </v>
      </c>
      <c r="C73" t="s">
        <v>141</v>
      </c>
      <c r="D73" t="s">
        <v>142</v>
      </c>
      <c r="E73" s="3">
        <v>44562</v>
      </c>
      <c r="G73" t="s">
        <v>126</v>
      </c>
      <c r="H73" t="s">
        <v>138</v>
      </c>
    </row>
    <row r="74" spans="1:9" x14ac:dyDescent="0.25">
      <c r="A74" t="s">
        <v>12</v>
      </c>
      <c r="B74" t="str">
        <f>"15109000      "</f>
        <v xml:space="preserve">15109000      </v>
      </c>
      <c r="C74" t="s">
        <v>143</v>
      </c>
      <c r="D74" t="s">
        <v>16</v>
      </c>
      <c r="E74" s="3">
        <v>44562</v>
      </c>
      <c r="G74" t="s">
        <v>126</v>
      </c>
      <c r="H74" t="s">
        <v>138</v>
      </c>
    </row>
    <row r="75" spans="1:9" x14ac:dyDescent="0.25">
      <c r="A75" t="s">
        <v>12</v>
      </c>
      <c r="B75" t="str">
        <f>"15156011      "</f>
        <v xml:space="preserve">15156011      </v>
      </c>
      <c r="C75" t="s">
        <v>144</v>
      </c>
      <c r="D75" t="s">
        <v>145</v>
      </c>
      <c r="E75" s="3">
        <v>44562</v>
      </c>
      <c r="G75" t="s">
        <v>126</v>
      </c>
      <c r="H75" t="s">
        <v>146</v>
      </c>
    </row>
    <row r="76" spans="1:9" x14ac:dyDescent="0.25">
      <c r="A76" t="s">
        <v>12</v>
      </c>
      <c r="B76" t="str">
        <f>"15156051      "</f>
        <v xml:space="preserve">15156051      </v>
      </c>
      <c r="C76" t="s">
        <v>147</v>
      </c>
      <c r="D76" t="s">
        <v>148</v>
      </c>
      <c r="E76" s="3">
        <v>44562</v>
      </c>
      <c r="G76" t="s">
        <v>126</v>
      </c>
      <c r="H76" t="s">
        <v>146</v>
      </c>
    </row>
    <row r="77" spans="1:9" x14ac:dyDescent="0.25">
      <c r="A77" t="s">
        <v>12</v>
      </c>
      <c r="B77" t="str">
        <f>"15156059      "</f>
        <v xml:space="preserve">15156059      </v>
      </c>
      <c r="C77" t="s">
        <v>149</v>
      </c>
      <c r="D77" t="s">
        <v>150</v>
      </c>
      <c r="E77" s="3">
        <v>44562</v>
      </c>
      <c r="G77" t="s">
        <v>126</v>
      </c>
      <c r="H77" t="s">
        <v>146</v>
      </c>
    </row>
    <row r="78" spans="1:9" x14ac:dyDescent="0.25">
      <c r="A78" t="s">
        <v>12</v>
      </c>
      <c r="B78" t="str">
        <f>"15156060      "</f>
        <v xml:space="preserve">15156060      </v>
      </c>
      <c r="C78" t="s">
        <v>151</v>
      </c>
      <c r="D78" t="s">
        <v>152</v>
      </c>
      <c r="E78" s="3">
        <v>44562</v>
      </c>
      <c r="G78" t="s">
        <v>126</v>
      </c>
      <c r="H78" t="s">
        <v>146</v>
      </c>
    </row>
    <row r="79" spans="1:9" x14ac:dyDescent="0.25">
      <c r="A79" t="s">
        <v>12</v>
      </c>
      <c r="B79" t="str">
        <f>"15156091      "</f>
        <v xml:space="preserve">15156091      </v>
      </c>
      <c r="C79" t="s">
        <v>153</v>
      </c>
      <c r="D79" t="s">
        <v>154</v>
      </c>
      <c r="E79" s="3">
        <v>44562</v>
      </c>
      <c r="G79" t="s">
        <v>126</v>
      </c>
      <c r="H79" t="s">
        <v>146</v>
      </c>
    </row>
    <row r="80" spans="1:9" x14ac:dyDescent="0.25">
      <c r="A80" t="s">
        <v>12</v>
      </c>
      <c r="B80" t="str">
        <f>"15156099      "</f>
        <v xml:space="preserve">15156099      </v>
      </c>
      <c r="C80" t="s">
        <v>155</v>
      </c>
      <c r="D80" t="s">
        <v>156</v>
      </c>
      <c r="E80" s="3">
        <v>44562</v>
      </c>
      <c r="G80" t="s">
        <v>126</v>
      </c>
      <c r="H80" t="s">
        <v>146</v>
      </c>
    </row>
    <row r="81" spans="1:9" x14ac:dyDescent="0.25">
      <c r="A81" t="s">
        <v>12</v>
      </c>
      <c r="B81" t="str">
        <f>"15163091      "</f>
        <v xml:space="preserve">15163091      </v>
      </c>
      <c r="C81" t="s">
        <v>157</v>
      </c>
      <c r="D81" t="s">
        <v>158</v>
      </c>
      <c r="E81" s="3">
        <v>44562</v>
      </c>
      <c r="G81" t="s">
        <v>126</v>
      </c>
      <c r="H81" t="s">
        <v>159</v>
      </c>
    </row>
    <row r="82" spans="1:9" x14ac:dyDescent="0.25">
      <c r="A82" t="s">
        <v>12</v>
      </c>
      <c r="B82" t="str">
        <f>"15163098      "</f>
        <v xml:space="preserve">15163098      </v>
      </c>
      <c r="C82" t="s">
        <v>160</v>
      </c>
      <c r="D82" t="s">
        <v>16</v>
      </c>
      <c r="E82" s="3">
        <v>44562</v>
      </c>
      <c r="G82" t="s">
        <v>126</v>
      </c>
      <c r="H82" t="s">
        <v>159</v>
      </c>
    </row>
    <row r="83" spans="1:9" x14ac:dyDescent="0.25">
      <c r="A83" t="s">
        <v>12</v>
      </c>
      <c r="B83" t="str">
        <f>"24041100      "</f>
        <v xml:space="preserve">24041100      </v>
      </c>
      <c r="C83" t="s">
        <v>161</v>
      </c>
      <c r="D83" t="s">
        <v>162</v>
      </c>
      <c r="E83" s="3">
        <v>44562</v>
      </c>
      <c r="G83" t="s">
        <v>163</v>
      </c>
      <c r="H83" t="s">
        <v>164</v>
      </c>
    </row>
    <row r="84" spans="1:9" x14ac:dyDescent="0.25">
      <c r="A84" t="s">
        <v>12</v>
      </c>
      <c r="B84" t="str">
        <f>"24041200      "</f>
        <v xml:space="preserve">24041200      </v>
      </c>
      <c r="C84" t="s">
        <v>165</v>
      </c>
      <c r="D84" t="s">
        <v>166</v>
      </c>
      <c r="E84" s="3">
        <v>44562</v>
      </c>
      <c r="G84" t="s">
        <v>163</v>
      </c>
      <c r="H84" t="s">
        <v>164</v>
      </c>
    </row>
    <row r="85" spans="1:9" x14ac:dyDescent="0.25">
      <c r="A85" t="s">
        <v>12</v>
      </c>
      <c r="B85" t="str">
        <f>"24041910      "</f>
        <v xml:space="preserve">24041910      </v>
      </c>
      <c r="C85" t="s">
        <v>167</v>
      </c>
      <c r="D85" t="s">
        <v>168</v>
      </c>
      <c r="E85" s="3">
        <v>44562</v>
      </c>
      <c r="G85" t="s">
        <v>163</v>
      </c>
      <c r="H85" t="s">
        <v>164</v>
      </c>
    </row>
    <row r="86" spans="1:9" x14ac:dyDescent="0.25">
      <c r="A86" t="s">
        <v>12</v>
      </c>
      <c r="B86" t="str">
        <f>"24041990      "</f>
        <v xml:space="preserve">24041990      </v>
      </c>
      <c r="C86" t="s">
        <v>169</v>
      </c>
      <c r="D86" t="s">
        <v>16</v>
      </c>
      <c r="E86" s="3">
        <v>44562</v>
      </c>
      <c r="G86" t="s">
        <v>163</v>
      </c>
      <c r="H86" t="s">
        <v>164</v>
      </c>
    </row>
    <row r="87" spans="1:9" x14ac:dyDescent="0.25">
      <c r="A87" t="s">
        <v>12</v>
      </c>
      <c r="B87" t="str">
        <f>"24049110      "</f>
        <v xml:space="preserve">24049110      </v>
      </c>
      <c r="C87" t="s">
        <v>170</v>
      </c>
      <c r="D87" t="s">
        <v>171</v>
      </c>
      <c r="E87" s="3">
        <v>44562</v>
      </c>
      <c r="G87" t="s">
        <v>163</v>
      </c>
      <c r="H87" t="s">
        <v>164</v>
      </c>
    </row>
    <row r="88" spans="1:9" x14ac:dyDescent="0.25">
      <c r="A88" t="s">
        <v>12</v>
      </c>
      <c r="B88" t="str">
        <f>"24049190      "</f>
        <v xml:space="preserve">24049190      </v>
      </c>
      <c r="C88" t="s">
        <v>172</v>
      </c>
      <c r="D88" t="s">
        <v>16</v>
      </c>
      <c r="E88" s="3">
        <v>44562</v>
      </c>
      <c r="G88" t="s">
        <v>163</v>
      </c>
      <c r="H88" t="s">
        <v>164</v>
      </c>
    </row>
    <row r="89" spans="1:9" x14ac:dyDescent="0.25">
      <c r="A89" t="s">
        <v>12</v>
      </c>
      <c r="B89" t="str">
        <f>"24049200      "</f>
        <v xml:space="preserve">24049200      </v>
      </c>
      <c r="C89" t="s">
        <v>173</v>
      </c>
      <c r="D89" t="s">
        <v>174</v>
      </c>
      <c r="E89" s="3">
        <v>44562</v>
      </c>
      <c r="G89" t="s">
        <v>163</v>
      </c>
      <c r="H89" t="s">
        <v>164</v>
      </c>
    </row>
    <row r="90" spans="1:9" x14ac:dyDescent="0.25">
      <c r="A90" t="s">
        <v>12</v>
      </c>
      <c r="B90" t="str">
        <f>"24049900      "</f>
        <v xml:space="preserve">24049900      </v>
      </c>
      <c r="C90" t="s">
        <v>175</v>
      </c>
      <c r="D90" t="s">
        <v>78</v>
      </c>
      <c r="E90" s="3">
        <v>44562</v>
      </c>
      <c r="G90" t="s">
        <v>163</v>
      </c>
      <c r="H90" t="s">
        <v>164</v>
      </c>
    </row>
    <row r="91" spans="1:9" x14ac:dyDescent="0.25">
      <c r="A91" t="s">
        <v>2</v>
      </c>
      <c r="B91" t="str">
        <f>"25183000      "</f>
        <v xml:space="preserve">25183000      </v>
      </c>
      <c r="C91" t="s">
        <v>176</v>
      </c>
      <c r="E91" s="3">
        <v>41122</v>
      </c>
      <c r="F91" s="3">
        <v>44562</v>
      </c>
      <c r="G91" t="s">
        <v>177</v>
      </c>
      <c r="H91" t="s">
        <v>178</v>
      </c>
      <c r="I91" t="s">
        <v>179</v>
      </c>
    </row>
    <row r="92" spans="1:9" x14ac:dyDescent="0.25">
      <c r="A92" t="s">
        <v>2</v>
      </c>
      <c r="B92" t="str">
        <f>"28444010      "</f>
        <v xml:space="preserve">28444010      </v>
      </c>
      <c r="C92" t="s">
        <v>180</v>
      </c>
      <c r="E92" s="3">
        <v>41122</v>
      </c>
      <c r="F92" s="3">
        <v>44562</v>
      </c>
      <c r="G92" t="s">
        <v>181</v>
      </c>
      <c r="H92" t="s">
        <v>182</v>
      </c>
      <c r="I92" t="s">
        <v>183</v>
      </c>
    </row>
    <row r="93" spans="1:9" x14ac:dyDescent="0.25">
      <c r="A93" t="s">
        <v>2</v>
      </c>
      <c r="B93" t="str">
        <f>"28444020      "</f>
        <v xml:space="preserve">28444020      </v>
      </c>
      <c r="C93" t="s">
        <v>184</v>
      </c>
      <c r="E93" s="3">
        <v>41122</v>
      </c>
      <c r="F93" s="3">
        <v>44562</v>
      </c>
      <c r="G93" t="s">
        <v>181</v>
      </c>
      <c r="H93" t="s">
        <v>182</v>
      </c>
      <c r="I93" t="s">
        <v>183</v>
      </c>
    </row>
    <row r="94" spans="1:9" x14ac:dyDescent="0.25">
      <c r="A94" t="s">
        <v>2</v>
      </c>
      <c r="B94" t="str">
        <f>"28444030      "</f>
        <v xml:space="preserve">28444030      </v>
      </c>
      <c r="C94" t="s">
        <v>185</v>
      </c>
      <c r="E94" s="3">
        <v>41122</v>
      </c>
      <c r="F94" s="3">
        <v>44562</v>
      </c>
      <c r="G94" t="s">
        <v>181</v>
      </c>
      <c r="H94" t="s">
        <v>182</v>
      </c>
      <c r="I94" t="s">
        <v>183</v>
      </c>
    </row>
    <row r="95" spans="1:9" x14ac:dyDescent="0.25">
      <c r="A95" t="s">
        <v>2</v>
      </c>
      <c r="B95" t="str">
        <f>"28444080      "</f>
        <v xml:space="preserve">28444080      </v>
      </c>
      <c r="C95" t="s">
        <v>186</v>
      </c>
      <c r="E95" s="3">
        <v>41122</v>
      </c>
      <c r="F95" s="3">
        <v>44562</v>
      </c>
      <c r="G95" t="s">
        <v>181</v>
      </c>
      <c r="H95" t="s">
        <v>182</v>
      </c>
      <c r="I95" t="s">
        <v>183</v>
      </c>
    </row>
    <row r="96" spans="1:9" x14ac:dyDescent="0.25">
      <c r="A96" t="s">
        <v>12</v>
      </c>
      <c r="B96" t="str">
        <f>"28444110      "</f>
        <v xml:space="preserve">28444110      </v>
      </c>
      <c r="C96" t="s">
        <v>187</v>
      </c>
      <c r="D96" t="s">
        <v>188</v>
      </c>
      <c r="E96" s="3">
        <v>44562</v>
      </c>
      <c r="G96" t="s">
        <v>181</v>
      </c>
      <c r="H96" t="s">
        <v>182</v>
      </c>
    </row>
    <row r="97" spans="1:9" x14ac:dyDescent="0.25">
      <c r="A97" t="s">
        <v>12</v>
      </c>
      <c r="B97" t="str">
        <f>"28444190      "</f>
        <v xml:space="preserve">28444190      </v>
      </c>
      <c r="C97" t="s">
        <v>189</v>
      </c>
      <c r="D97" t="s">
        <v>16</v>
      </c>
      <c r="E97" s="3">
        <v>44562</v>
      </c>
      <c r="G97" t="s">
        <v>181</v>
      </c>
      <c r="H97" t="s">
        <v>182</v>
      </c>
    </row>
    <row r="98" spans="1:9" x14ac:dyDescent="0.25">
      <c r="A98" t="s">
        <v>12</v>
      </c>
      <c r="B98" t="str">
        <f>"28444210      "</f>
        <v xml:space="preserve">28444210      </v>
      </c>
      <c r="C98" t="s">
        <v>190</v>
      </c>
      <c r="D98" t="s">
        <v>191</v>
      </c>
      <c r="E98" s="3">
        <v>44562</v>
      </c>
      <c r="G98" t="s">
        <v>181</v>
      </c>
      <c r="H98" t="s">
        <v>182</v>
      </c>
    </row>
    <row r="99" spans="1:9" x14ac:dyDescent="0.25">
      <c r="A99" t="s">
        <v>12</v>
      </c>
      <c r="B99" t="str">
        <f>"28444290      "</f>
        <v xml:space="preserve">28444290      </v>
      </c>
      <c r="C99" t="s">
        <v>192</v>
      </c>
      <c r="D99" t="s">
        <v>16</v>
      </c>
      <c r="E99" s="3">
        <v>44562</v>
      </c>
      <c r="G99" t="s">
        <v>181</v>
      </c>
      <c r="H99" t="s">
        <v>182</v>
      </c>
    </row>
    <row r="100" spans="1:9" x14ac:dyDescent="0.25">
      <c r="A100" t="s">
        <v>12</v>
      </c>
      <c r="B100" t="str">
        <f>"28444310      "</f>
        <v xml:space="preserve">28444310      </v>
      </c>
      <c r="C100" t="s">
        <v>193</v>
      </c>
      <c r="D100" t="s">
        <v>194</v>
      </c>
      <c r="E100" s="3">
        <v>44562</v>
      </c>
      <c r="G100" t="s">
        <v>181</v>
      </c>
      <c r="H100" t="s">
        <v>182</v>
      </c>
    </row>
    <row r="101" spans="1:9" x14ac:dyDescent="0.25">
      <c r="A101" t="s">
        <v>12</v>
      </c>
      <c r="B101" t="str">
        <f>"28444320      "</f>
        <v xml:space="preserve">28444320      </v>
      </c>
      <c r="C101" t="s">
        <v>195</v>
      </c>
      <c r="D101" t="s">
        <v>191</v>
      </c>
      <c r="E101" s="3">
        <v>44562</v>
      </c>
      <c r="G101" t="s">
        <v>181</v>
      </c>
      <c r="H101" t="s">
        <v>182</v>
      </c>
    </row>
    <row r="102" spans="1:9" x14ac:dyDescent="0.25">
      <c r="A102" t="s">
        <v>12</v>
      </c>
      <c r="B102" t="str">
        <f>"28444380      "</f>
        <v xml:space="preserve">28444380      </v>
      </c>
      <c r="C102" t="s">
        <v>196</v>
      </c>
      <c r="D102" t="s">
        <v>16</v>
      </c>
      <c r="E102" s="3">
        <v>44562</v>
      </c>
      <c r="G102" t="s">
        <v>181</v>
      </c>
      <c r="H102" t="s">
        <v>182</v>
      </c>
    </row>
    <row r="103" spans="1:9" x14ac:dyDescent="0.25">
      <c r="A103" t="s">
        <v>12</v>
      </c>
      <c r="B103" t="str">
        <f>"28444400      "</f>
        <v xml:space="preserve">28444400      </v>
      </c>
      <c r="C103" t="s">
        <v>197</v>
      </c>
      <c r="D103" t="s">
        <v>198</v>
      </c>
      <c r="E103" s="3">
        <v>44562</v>
      </c>
      <c r="G103" t="s">
        <v>181</v>
      </c>
      <c r="H103" t="s">
        <v>182</v>
      </c>
    </row>
    <row r="104" spans="1:9" x14ac:dyDescent="0.25">
      <c r="A104" t="s">
        <v>12</v>
      </c>
      <c r="B104" t="str">
        <f>"28452000      "</f>
        <v xml:space="preserve">28452000      </v>
      </c>
      <c r="C104" t="s">
        <v>199</v>
      </c>
      <c r="D104" t="s">
        <v>200</v>
      </c>
      <c r="E104" s="3">
        <v>44562</v>
      </c>
      <c r="G104" t="s">
        <v>181</v>
      </c>
      <c r="H104" t="s">
        <v>201</v>
      </c>
    </row>
    <row r="105" spans="1:9" x14ac:dyDescent="0.25">
      <c r="A105" t="s">
        <v>12</v>
      </c>
      <c r="B105" t="str">
        <f>"28453000      "</f>
        <v xml:space="preserve">28453000      </v>
      </c>
      <c r="C105" t="s">
        <v>202</v>
      </c>
      <c r="D105" t="s">
        <v>203</v>
      </c>
      <c r="E105" s="3">
        <v>44562</v>
      </c>
      <c r="G105" t="s">
        <v>181</v>
      </c>
      <c r="H105" t="s">
        <v>201</v>
      </c>
    </row>
    <row r="106" spans="1:9" x14ac:dyDescent="0.25">
      <c r="A106" t="s">
        <v>12</v>
      </c>
      <c r="B106" t="str">
        <f>"28454000      "</f>
        <v xml:space="preserve">28454000      </v>
      </c>
      <c r="C106" t="s">
        <v>204</v>
      </c>
      <c r="D106" t="s">
        <v>205</v>
      </c>
      <c r="E106" s="3">
        <v>44562</v>
      </c>
      <c r="G106" t="s">
        <v>181</v>
      </c>
      <c r="H106" t="s">
        <v>201</v>
      </c>
    </row>
    <row r="107" spans="1:9" x14ac:dyDescent="0.25">
      <c r="A107" t="s">
        <v>2</v>
      </c>
      <c r="B107" t="str">
        <f>"29033100      "</f>
        <v xml:space="preserve">29033100      </v>
      </c>
      <c r="C107" t="s">
        <v>206</v>
      </c>
      <c r="E107" s="3">
        <v>41122</v>
      </c>
      <c r="F107" s="3">
        <v>44562</v>
      </c>
      <c r="G107" t="s">
        <v>207</v>
      </c>
      <c r="H107" t="s">
        <v>208</v>
      </c>
      <c r="I107" t="s">
        <v>209</v>
      </c>
    </row>
    <row r="108" spans="1:9" x14ac:dyDescent="0.25">
      <c r="A108" t="s">
        <v>2</v>
      </c>
      <c r="B108" t="str">
        <f>"29033911      "</f>
        <v xml:space="preserve">29033911      </v>
      </c>
      <c r="C108" t="s">
        <v>210</v>
      </c>
      <c r="E108" s="3">
        <v>41122</v>
      </c>
      <c r="F108" s="3">
        <v>44562</v>
      </c>
      <c r="G108" t="s">
        <v>207</v>
      </c>
      <c r="H108" t="s">
        <v>208</v>
      </c>
      <c r="I108" t="s">
        <v>211</v>
      </c>
    </row>
    <row r="109" spans="1:9" x14ac:dyDescent="0.25">
      <c r="A109" t="s">
        <v>2</v>
      </c>
      <c r="B109" t="str">
        <f>"29033915      "</f>
        <v xml:space="preserve">29033915      </v>
      </c>
      <c r="C109" t="s">
        <v>212</v>
      </c>
      <c r="E109" s="3">
        <v>41122</v>
      </c>
      <c r="F109" s="3">
        <v>44562</v>
      </c>
      <c r="G109" t="s">
        <v>207</v>
      </c>
      <c r="H109" t="s">
        <v>208</v>
      </c>
      <c r="I109" t="s">
        <v>211</v>
      </c>
    </row>
    <row r="110" spans="1:9" x14ac:dyDescent="0.25">
      <c r="A110" t="s">
        <v>2</v>
      </c>
      <c r="B110" t="str">
        <f>"29033919      "</f>
        <v xml:space="preserve">29033919      </v>
      </c>
      <c r="C110" t="s">
        <v>213</v>
      </c>
      <c r="E110" s="3">
        <v>41122</v>
      </c>
      <c r="F110" s="3">
        <v>44562</v>
      </c>
      <c r="G110" t="s">
        <v>207</v>
      </c>
      <c r="H110" t="s">
        <v>208</v>
      </c>
      <c r="I110" t="s">
        <v>211</v>
      </c>
    </row>
    <row r="111" spans="1:9" x14ac:dyDescent="0.25">
      <c r="A111" t="s">
        <v>2</v>
      </c>
      <c r="B111" t="str">
        <f>"29033921      "</f>
        <v xml:space="preserve">29033921      </v>
      </c>
      <c r="C111" t="s">
        <v>214</v>
      </c>
      <c r="E111" s="3">
        <v>42370</v>
      </c>
      <c r="F111" s="3">
        <v>44562</v>
      </c>
      <c r="G111" t="s">
        <v>207</v>
      </c>
      <c r="H111" t="s">
        <v>208</v>
      </c>
      <c r="I111" t="s">
        <v>211</v>
      </c>
    </row>
    <row r="112" spans="1:9" x14ac:dyDescent="0.25">
      <c r="A112" t="s">
        <v>2</v>
      </c>
      <c r="B112" t="str">
        <f>"29033923      "</f>
        <v xml:space="preserve">29033923      </v>
      </c>
      <c r="C112" t="s">
        <v>215</v>
      </c>
      <c r="E112" s="3">
        <v>42370</v>
      </c>
      <c r="F112" s="3">
        <v>44562</v>
      </c>
      <c r="G112" t="s">
        <v>207</v>
      </c>
      <c r="H112" t="s">
        <v>208</v>
      </c>
      <c r="I112" t="s">
        <v>211</v>
      </c>
    </row>
    <row r="113" spans="1:9" x14ac:dyDescent="0.25">
      <c r="A113" t="s">
        <v>2</v>
      </c>
      <c r="B113" t="str">
        <f>"29033924      "</f>
        <v xml:space="preserve">29033924      </v>
      </c>
      <c r="C113" t="s">
        <v>216</v>
      </c>
      <c r="E113" s="3">
        <v>42370</v>
      </c>
      <c r="F113" s="3">
        <v>44562</v>
      </c>
      <c r="G113" t="s">
        <v>207</v>
      </c>
      <c r="H113" t="s">
        <v>208</v>
      </c>
      <c r="I113" t="s">
        <v>211</v>
      </c>
    </row>
    <row r="114" spans="1:9" x14ac:dyDescent="0.25">
      <c r="A114" t="s">
        <v>2</v>
      </c>
      <c r="B114" t="str">
        <f>"29033925      "</f>
        <v xml:space="preserve">29033925      </v>
      </c>
      <c r="C114" t="s">
        <v>217</v>
      </c>
      <c r="E114" s="3">
        <v>42370</v>
      </c>
      <c r="F114" s="3">
        <v>44562</v>
      </c>
      <c r="G114" t="s">
        <v>207</v>
      </c>
      <c r="H114" t="s">
        <v>208</v>
      </c>
      <c r="I114" t="s">
        <v>211</v>
      </c>
    </row>
    <row r="115" spans="1:9" x14ac:dyDescent="0.25">
      <c r="A115" t="s">
        <v>2</v>
      </c>
      <c r="B115" t="str">
        <f>"29033926      "</f>
        <v xml:space="preserve">29033926      </v>
      </c>
      <c r="C115" t="s">
        <v>218</v>
      </c>
      <c r="E115" s="3">
        <v>42370</v>
      </c>
      <c r="F115" s="3">
        <v>44562</v>
      </c>
      <c r="G115" t="s">
        <v>207</v>
      </c>
      <c r="H115" t="s">
        <v>208</v>
      </c>
      <c r="I115" t="s">
        <v>211</v>
      </c>
    </row>
    <row r="116" spans="1:9" x14ac:dyDescent="0.25">
      <c r="A116" t="s">
        <v>2</v>
      </c>
      <c r="B116" t="str">
        <f>"29033927      "</f>
        <v xml:space="preserve">29033927      </v>
      </c>
      <c r="C116" t="s">
        <v>219</v>
      </c>
      <c r="E116" s="3">
        <v>42370</v>
      </c>
      <c r="F116" s="3">
        <v>44562</v>
      </c>
      <c r="G116" t="s">
        <v>207</v>
      </c>
      <c r="H116" t="s">
        <v>208</v>
      </c>
      <c r="I116" t="s">
        <v>211</v>
      </c>
    </row>
    <row r="117" spans="1:9" x14ac:dyDescent="0.25">
      <c r="A117" t="s">
        <v>2</v>
      </c>
      <c r="B117" t="str">
        <f>"29033928      "</f>
        <v xml:space="preserve">29033928      </v>
      </c>
      <c r="C117" t="s">
        <v>220</v>
      </c>
      <c r="E117" s="3">
        <v>42370</v>
      </c>
      <c r="F117" s="3">
        <v>44562</v>
      </c>
      <c r="G117" t="s">
        <v>207</v>
      </c>
      <c r="H117" t="s">
        <v>208</v>
      </c>
      <c r="I117" t="s">
        <v>211</v>
      </c>
    </row>
    <row r="118" spans="1:9" x14ac:dyDescent="0.25">
      <c r="A118" t="s">
        <v>2</v>
      </c>
      <c r="B118" t="str">
        <f>"29033929      "</f>
        <v xml:space="preserve">29033929      </v>
      </c>
      <c r="C118" t="s">
        <v>221</v>
      </c>
      <c r="E118" s="3">
        <v>42370</v>
      </c>
      <c r="F118" s="3">
        <v>44562</v>
      </c>
      <c r="G118" t="s">
        <v>207</v>
      </c>
      <c r="H118" t="s">
        <v>208</v>
      </c>
      <c r="I118" t="s">
        <v>211</v>
      </c>
    </row>
    <row r="119" spans="1:9" x14ac:dyDescent="0.25">
      <c r="A119" t="s">
        <v>2</v>
      </c>
      <c r="B119" t="str">
        <f>"29033931      "</f>
        <v xml:space="preserve">29033931      </v>
      </c>
      <c r="C119" t="s">
        <v>222</v>
      </c>
      <c r="E119" s="3">
        <v>42370</v>
      </c>
      <c r="F119" s="3">
        <v>44562</v>
      </c>
      <c r="G119" t="s">
        <v>207</v>
      </c>
      <c r="H119" t="s">
        <v>208</v>
      </c>
      <c r="I119" t="s">
        <v>211</v>
      </c>
    </row>
    <row r="120" spans="1:9" x14ac:dyDescent="0.25">
      <c r="A120" t="s">
        <v>2</v>
      </c>
      <c r="B120" t="str">
        <f>"29033935      "</f>
        <v xml:space="preserve">29033935      </v>
      </c>
      <c r="C120" t="s">
        <v>223</v>
      </c>
      <c r="E120" s="3">
        <v>42370</v>
      </c>
      <c r="F120" s="3">
        <v>44562</v>
      </c>
      <c r="G120" t="s">
        <v>207</v>
      </c>
      <c r="H120" t="s">
        <v>208</v>
      </c>
      <c r="I120" t="s">
        <v>211</v>
      </c>
    </row>
    <row r="121" spans="1:9" x14ac:dyDescent="0.25">
      <c r="A121" t="s">
        <v>2</v>
      </c>
      <c r="B121" t="str">
        <f>"29033939      "</f>
        <v xml:space="preserve">29033939      </v>
      </c>
      <c r="C121" t="s">
        <v>224</v>
      </c>
      <c r="E121" s="3">
        <v>42370</v>
      </c>
      <c r="F121" s="3">
        <v>44562</v>
      </c>
      <c r="G121" t="s">
        <v>207</v>
      </c>
      <c r="H121" t="s">
        <v>208</v>
      </c>
      <c r="I121" t="s">
        <v>211</v>
      </c>
    </row>
    <row r="122" spans="1:9" x14ac:dyDescent="0.25">
      <c r="A122" t="s">
        <v>2</v>
      </c>
      <c r="B122" t="str">
        <f>"29033980      "</f>
        <v xml:space="preserve">29033980      </v>
      </c>
      <c r="C122" t="s">
        <v>225</v>
      </c>
      <c r="E122" s="3">
        <v>42370</v>
      </c>
      <c r="F122" s="3">
        <v>44562</v>
      </c>
      <c r="G122" t="s">
        <v>207</v>
      </c>
      <c r="H122" t="s">
        <v>208</v>
      </c>
      <c r="I122" t="s">
        <v>211</v>
      </c>
    </row>
    <row r="123" spans="1:9" x14ac:dyDescent="0.25">
      <c r="A123" t="s">
        <v>12</v>
      </c>
      <c r="B123" t="str">
        <f>"29034100      "</f>
        <v xml:space="preserve">29034100      </v>
      </c>
      <c r="C123" t="s">
        <v>226</v>
      </c>
      <c r="D123" t="s">
        <v>227</v>
      </c>
      <c r="E123" s="3">
        <v>44562</v>
      </c>
      <c r="G123" t="s">
        <v>207</v>
      </c>
      <c r="H123" t="s">
        <v>208</v>
      </c>
      <c r="I123" t="s">
        <v>228</v>
      </c>
    </row>
    <row r="124" spans="1:9" x14ac:dyDescent="0.25">
      <c r="A124" t="s">
        <v>12</v>
      </c>
      <c r="B124" t="str">
        <f>"29034200      "</f>
        <v xml:space="preserve">29034200      </v>
      </c>
      <c r="C124" t="s">
        <v>229</v>
      </c>
      <c r="D124" t="s">
        <v>230</v>
      </c>
      <c r="E124" s="3">
        <v>44562</v>
      </c>
      <c r="G124" t="s">
        <v>207</v>
      </c>
      <c r="H124" t="s">
        <v>208</v>
      </c>
      <c r="I124" t="s">
        <v>231</v>
      </c>
    </row>
    <row r="125" spans="1:9" x14ac:dyDescent="0.25">
      <c r="A125" t="s">
        <v>12</v>
      </c>
      <c r="B125" t="str">
        <f>"29034300      "</f>
        <v xml:space="preserve">29034300      </v>
      </c>
      <c r="C125" t="s">
        <v>232</v>
      </c>
      <c r="D125" t="s">
        <v>233</v>
      </c>
      <c r="E125" s="3">
        <v>44562</v>
      </c>
      <c r="G125" t="s">
        <v>207</v>
      </c>
      <c r="H125" t="s">
        <v>208</v>
      </c>
      <c r="I125" t="s">
        <v>234</v>
      </c>
    </row>
    <row r="126" spans="1:9" x14ac:dyDescent="0.25">
      <c r="A126" t="s">
        <v>12</v>
      </c>
      <c r="B126" t="str">
        <f>"29034400      "</f>
        <v xml:space="preserve">29034400      </v>
      </c>
      <c r="C126" t="s">
        <v>235</v>
      </c>
      <c r="D126" t="s">
        <v>236</v>
      </c>
      <c r="E126" s="3">
        <v>44562</v>
      </c>
      <c r="G126" t="s">
        <v>207</v>
      </c>
      <c r="H126" t="s">
        <v>208</v>
      </c>
      <c r="I126" t="s">
        <v>237</v>
      </c>
    </row>
    <row r="127" spans="1:9" x14ac:dyDescent="0.25">
      <c r="A127" t="s">
        <v>12</v>
      </c>
      <c r="B127" t="str">
        <f>"29034500      "</f>
        <v xml:space="preserve">29034500      </v>
      </c>
      <c r="C127" t="s">
        <v>238</v>
      </c>
      <c r="D127" t="s">
        <v>239</v>
      </c>
      <c r="E127" s="3">
        <v>44562</v>
      </c>
      <c r="G127" t="s">
        <v>207</v>
      </c>
      <c r="H127" t="s">
        <v>208</v>
      </c>
      <c r="I127" t="s">
        <v>240</v>
      </c>
    </row>
    <row r="128" spans="1:9" x14ac:dyDescent="0.25">
      <c r="A128" t="s">
        <v>12</v>
      </c>
      <c r="B128" t="str">
        <f>"29034600      "</f>
        <v xml:space="preserve">29034600      </v>
      </c>
      <c r="C128" t="s">
        <v>241</v>
      </c>
      <c r="D128" t="s">
        <v>242</v>
      </c>
      <c r="E128" s="3">
        <v>44562</v>
      </c>
      <c r="G128" t="s">
        <v>207</v>
      </c>
      <c r="H128" t="s">
        <v>208</v>
      </c>
      <c r="I128" t="s">
        <v>243</v>
      </c>
    </row>
    <row r="129" spans="1:9" x14ac:dyDescent="0.25">
      <c r="A129" t="s">
        <v>12</v>
      </c>
      <c r="B129" t="str">
        <f>"29034700      "</f>
        <v xml:space="preserve">29034700      </v>
      </c>
      <c r="C129" t="s">
        <v>244</v>
      </c>
      <c r="D129" t="s">
        <v>245</v>
      </c>
      <c r="E129" s="3">
        <v>44562</v>
      </c>
      <c r="G129" t="s">
        <v>207</v>
      </c>
      <c r="H129" t="s">
        <v>208</v>
      </c>
      <c r="I129" t="s">
        <v>246</v>
      </c>
    </row>
    <row r="130" spans="1:9" x14ac:dyDescent="0.25">
      <c r="A130" t="s">
        <v>12</v>
      </c>
      <c r="B130" t="str">
        <f>"29034800      "</f>
        <v xml:space="preserve">29034800      </v>
      </c>
      <c r="C130" t="s">
        <v>247</v>
      </c>
      <c r="D130" t="s">
        <v>248</v>
      </c>
      <c r="E130" s="3">
        <v>44562</v>
      </c>
      <c r="G130" t="s">
        <v>207</v>
      </c>
      <c r="H130" t="s">
        <v>208</v>
      </c>
      <c r="I130" t="s">
        <v>249</v>
      </c>
    </row>
    <row r="131" spans="1:9" x14ac:dyDescent="0.25">
      <c r="A131" t="s">
        <v>12</v>
      </c>
      <c r="B131" t="str">
        <f>"29034910      "</f>
        <v xml:space="preserve">29034910      </v>
      </c>
      <c r="C131" t="s">
        <v>250</v>
      </c>
      <c r="D131" t="s">
        <v>251</v>
      </c>
      <c r="E131" s="3">
        <v>44562</v>
      </c>
      <c r="G131" t="s">
        <v>207</v>
      </c>
      <c r="H131" t="s">
        <v>208</v>
      </c>
      <c r="I131" t="s">
        <v>252</v>
      </c>
    </row>
    <row r="132" spans="1:9" x14ac:dyDescent="0.25">
      <c r="A132" t="s">
        <v>12</v>
      </c>
      <c r="B132" t="str">
        <f>"29034930      "</f>
        <v xml:space="preserve">29034930      </v>
      </c>
      <c r="C132" t="s">
        <v>253</v>
      </c>
      <c r="D132" t="s">
        <v>254</v>
      </c>
      <c r="E132" s="3">
        <v>44562</v>
      </c>
      <c r="G132" t="s">
        <v>207</v>
      </c>
      <c r="H132" t="s">
        <v>208</v>
      </c>
      <c r="I132" t="s">
        <v>252</v>
      </c>
    </row>
    <row r="133" spans="1:9" x14ac:dyDescent="0.25">
      <c r="A133" t="s">
        <v>12</v>
      </c>
      <c r="B133" t="str">
        <f>"29034990      "</f>
        <v xml:space="preserve">29034990      </v>
      </c>
      <c r="C133" t="s">
        <v>255</v>
      </c>
      <c r="D133" t="s">
        <v>16</v>
      </c>
      <c r="E133" s="3">
        <v>44562</v>
      </c>
      <c r="G133" t="s">
        <v>207</v>
      </c>
      <c r="H133" t="s">
        <v>208</v>
      </c>
      <c r="I133" t="s">
        <v>252</v>
      </c>
    </row>
    <row r="134" spans="1:9" x14ac:dyDescent="0.25">
      <c r="A134" t="s">
        <v>12</v>
      </c>
      <c r="B134" t="str">
        <f>"29035100      "</f>
        <v xml:space="preserve">29035100      </v>
      </c>
      <c r="C134" t="s">
        <v>256</v>
      </c>
      <c r="D134" t="s">
        <v>257</v>
      </c>
      <c r="E134" s="3">
        <v>44562</v>
      </c>
      <c r="G134" t="s">
        <v>207</v>
      </c>
      <c r="H134" t="s">
        <v>208</v>
      </c>
      <c r="I134" t="s">
        <v>258</v>
      </c>
    </row>
    <row r="135" spans="1:9" x14ac:dyDescent="0.25">
      <c r="A135" t="s">
        <v>12</v>
      </c>
      <c r="B135" t="str">
        <f>"29035900      "</f>
        <v xml:space="preserve">29035900      </v>
      </c>
      <c r="C135" t="s">
        <v>259</v>
      </c>
      <c r="D135" t="s">
        <v>260</v>
      </c>
      <c r="E135" s="3">
        <v>44562</v>
      </c>
      <c r="G135" t="s">
        <v>207</v>
      </c>
      <c r="H135" t="s">
        <v>208</v>
      </c>
      <c r="I135" t="s">
        <v>261</v>
      </c>
    </row>
    <row r="136" spans="1:9" x14ac:dyDescent="0.25">
      <c r="A136" t="s">
        <v>12</v>
      </c>
      <c r="B136" t="str">
        <f>"29036100      "</f>
        <v xml:space="preserve">29036100      </v>
      </c>
      <c r="C136" t="s">
        <v>262</v>
      </c>
      <c r="D136" t="s">
        <v>263</v>
      </c>
      <c r="E136" s="3">
        <v>44562</v>
      </c>
      <c r="G136" t="s">
        <v>207</v>
      </c>
      <c r="H136" t="s">
        <v>208</v>
      </c>
      <c r="I136" t="s">
        <v>264</v>
      </c>
    </row>
    <row r="137" spans="1:9" x14ac:dyDescent="0.25">
      <c r="A137" t="s">
        <v>12</v>
      </c>
      <c r="B137" t="str">
        <f>"29036200      "</f>
        <v xml:space="preserve">29036200      </v>
      </c>
      <c r="C137" t="s">
        <v>265</v>
      </c>
      <c r="D137" t="s">
        <v>266</v>
      </c>
      <c r="E137" s="3">
        <v>44562</v>
      </c>
      <c r="G137" t="s">
        <v>207</v>
      </c>
      <c r="H137" t="s">
        <v>208</v>
      </c>
      <c r="I137" t="s">
        <v>267</v>
      </c>
    </row>
    <row r="138" spans="1:9" x14ac:dyDescent="0.25">
      <c r="A138" t="s">
        <v>12</v>
      </c>
      <c r="B138" t="str">
        <f>"29036911      "</f>
        <v xml:space="preserve">29036911      </v>
      </c>
      <c r="C138" t="s">
        <v>268</v>
      </c>
      <c r="D138" t="s">
        <v>269</v>
      </c>
      <c r="E138" s="3">
        <v>44562</v>
      </c>
      <c r="G138" t="s">
        <v>207</v>
      </c>
      <c r="H138" t="s">
        <v>208</v>
      </c>
      <c r="I138" t="s">
        <v>270</v>
      </c>
    </row>
    <row r="139" spans="1:9" x14ac:dyDescent="0.25">
      <c r="A139" t="s">
        <v>12</v>
      </c>
      <c r="B139" t="str">
        <f>"29036919      "</f>
        <v xml:space="preserve">29036919      </v>
      </c>
      <c r="C139" t="s">
        <v>271</v>
      </c>
      <c r="D139" t="s">
        <v>272</v>
      </c>
      <c r="E139" s="3">
        <v>44562</v>
      </c>
      <c r="G139" t="s">
        <v>207</v>
      </c>
      <c r="H139" t="s">
        <v>208</v>
      </c>
      <c r="I139" t="s">
        <v>270</v>
      </c>
    </row>
    <row r="140" spans="1:9" x14ac:dyDescent="0.25">
      <c r="A140" t="s">
        <v>12</v>
      </c>
      <c r="B140" t="str">
        <f>"29036980      "</f>
        <v xml:space="preserve">29036980      </v>
      </c>
      <c r="C140" t="s">
        <v>273</v>
      </c>
      <c r="D140" t="s">
        <v>274</v>
      </c>
      <c r="E140" s="3">
        <v>44562</v>
      </c>
      <c r="G140" t="s">
        <v>207</v>
      </c>
      <c r="H140" t="s">
        <v>208</v>
      </c>
      <c r="I140" t="s">
        <v>270</v>
      </c>
    </row>
    <row r="141" spans="1:9" x14ac:dyDescent="0.25">
      <c r="A141" t="s">
        <v>2</v>
      </c>
      <c r="B141" t="str">
        <f>"29096000      "</f>
        <v xml:space="preserve">29096000      </v>
      </c>
      <c r="C141" t="s">
        <v>275</v>
      </c>
      <c r="E141" s="3">
        <v>41122</v>
      </c>
      <c r="F141" s="3">
        <v>44562</v>
      </c>
      <c r="G141" t="s">
        <v>207</v>
      </c>
      <c r="H141" t="s">
        <v>276</v>
      </c>
      <c r="I141" t="s">
        <v>277</v>
      </c>
    </row>
    <row r="142" spans="1:9" x14ac:dyDescent="0.25">
      <c r="A142" t="s">
        <v>12</v>
      </c>
      <c r="B142" t="str">
        <f>"29096010      "</f>
        <v xml:space="preserve">29096010      </v>
      </c>
      <c r="C142" t="s">
        <v>278</v>
      </c>
      <c r="D142" t="s">
        <v>279</v>
      </c>
      <c r="E142" s="3">
        <v>44562</v>
      </c>
      <c r="G142" t="s">
        <v>207</v>
      </c>
      <c r="H142" t="s">
        <v>276</v>
      </c>
      <c r="I142" t="s">
        <v>277</v>
      </c>
    </row>
    <row r="143" spans="1:9" x14ac:dyDescent="0.25">
      <c r="A143" t="s">
        <v>12</v>
      </c>
      <c r="B143" t="str">
        <f>"29096090      "</f>
        <v xml:space="preserve">29096090      </v>
      </c>
      <c r="C143" t="s">
        <v>280</v>
      </c>
      <c r="D143" t="s">
        <v>16</v>
      </c>
      <c r="E143" s="3">
        <v>44562</v>
      </c>
      <c r="G143" t="s">
        <v>207</v>
      </c>
      <c r="H143" t="s">
        <v>276</v>
      </c>
      <c r="I143" t="s">
        <v>277</v>
      </c>
    </row>
    <row r="144" spans="1:9" x14ac:dyDescent="0.25">
      <c r="A144" t="s">
        <v>12</v>
      </c>
      <c r="B144" t="str">
        <f>"29301000      "</f>
        <v xml:space="preserve">29301000      </v>
      </c>
      <c r="C144" t="s">
        <v>281</v>
      </c>
      <c r="D144" t="s">
        <v>282</v>
      </c>
      <c r="E144" s="3">
        <v>44562</v>
      </c>
      <c r="G144" t="s">
        <v>207</v>
      </c>
      <c r="H144" t="s">
        <v>283</v>
      </c>
    </row>
    <row r="145" spans="1:8" x14ac:dyDescent="0.25">
      <c r="A145" t="s">
        <v>2</v>
      </c>
      <c r="B145" t="str">
        <f>"29313100      "</f>
        <v xml:space="preserve">29313100      </v>
      </c>
      <c r="C145" t="s">
        <v>284</v>
      </c>
      <c r="E145" s="3">
        <v>42736</v>
      </c>
      <c r="F145" s="3">
        <v>44562</v>
      </c>
      <c r="G145" t="s">
        <v>207</v>
      </c>
      <c r="H145" t="s">
        <v>285</v>
      </c>
    </row>
    <row r="146" spans="1:8" x14ac:dyDescent="0.25">
      <c r="A146" t="s">
        <v>2</v>
      </c>
      <c r="B146" t="str">
        <f>"29313200      "</f>
        <v xml:space="preserve">29313200      </v>
      </c>
      <c r="C146" t="s">
        <v>286</v>
      </c>
      <c r="E146" s="3">
        <v>42736</v>
      </c>
      <c r="F146" s="3">
        <v>44562</v>
      </c>
      <c r="G146" t="s">
        <v>207</v>
      </c>
      <c r="H146" t="s">
        <v>285</v>
      </c>
    </row>
    <row r="147" spans="1:8" x14ac:dyDescent="0.25">
      <c r="A147" t="s">
        <v>2</v>
      </c>
      <c r="B147" t="str">
        <f>"29313300      "</f>
        <v xml:space="preserve">29313300      </v>
      </c>
      <c r="C147" t="s">
        <v>287</v>
      </c>
      <c r="E147" s="3">
        <v>42736</v>
      </c>
      <c r="F147" s="3">
        <v>44562</v>
      </c>
      <c r="G147" t="s">
        <v>207</v>
      </c>
      <c r="H147" t="s">
        <v>285</v>
      </c>
    </row>
    <row r="148" spans="1:8" x14ac:dyDescent="0.25">
      <c r="A148" t="s">
        <v>2</v>
      </c>
      <c r="B148" t="str">
        <f>"29313400      "</f>
        <v xml:space="preserve">29313400      </v>
      </c>
      <c r="C148" t="s">
        <v>288</v>
      </c>
      <c r="E148" s="3">
        <v>42736</v>
      </c>
      <c r="F148" s="3">
        <v>44562</v>
      </c>
      <c r="G148" t="s">
        <v>207</v>
      </c>
      <c r="H148" t="s">
        <v>285</v>
      </c>
    </row>
    <row r="149" spans="1:8" x14ac:dyDescent="0.25">
      <c r="A149" t="s">
        <v>2</v>
      </c>
      <c r="B149" t="str">
        <f>"29313500      "</f>
        <v xml:space="preserve">29313500      </v>
      </c>
      <c r="C149" t="s">
        <v>289</v>
      </c>
      <c r="E149" s="3">
        <v>42736</v>
      </c>
      <c r="F149" s="3">
        <v>44562</v>
      </c>
      <c r="G149" t="s">
        <v>207</v>
      </c>
      <c r="H149" t="s">
        <v>285</v>
      </c>
    </row>
    <row r="150" spans="1:8" x14ac:dyDescent="0.25">
      <c r="A150" t="s">
        <v>2</v>
      </c>
      <c r="B150" t="str">
        <f>"29313600      "</f>
        <v xml:space="preserve">29313600      </v>
      </c>
      <c r="C150" t="s">
        <v>290</v>
      </c>
      <c r="E150" s="3">
        <v>42736</v>
      </c>
      <c r="F150" s="3">
        <v>44562</v>
      </c>
      <c r="G150" t="s">
        <v>207</v>
      </c>
      <c r="H150" t="s">
        <v>285</v>
      </c>
    </row>
    <row r="151" spans="1:8" x14ac:dyDescent="0.25">
      <c r="A151" t="s">
        <v>2</v>
      </c>
      <c r="B151" t="str">
        <f>"29313700      "</f>
        <v xml:space="preserve">29313700      </v>
      </c>
      <c r="C151" t="s">
        <v>291</v>
      </c>
      <c r="E151" s="3">
        <v>42736</v>
      </c>
      <c r="F151" s="3">
        <v>44562</v>
      </c>
      <c r="G151" t="s">
        <v>207</v>
      </c>
      <c r="H151" t="s">
        <v>285</v>
      </c>
    </row>
    <row r="152" spans="1:8" x14ac:dyDescent="0.25">
      <c r="A152" t="s">
        <v>2</v>
      </c>
      <c r="B152" t="str">
        <f>"29313800      "</f>
        <v xml:space="preserve">29313800      </v>
      </c>
      <c r="C152" t="s">
        <v>292</v>
      </c>
      <c r="E152" s="3">
        <v>42736</v>
      </c>
      <c r="F152" s="3">
        <v>44562</v>
      </c>
      <c r="G152" t="s">
        <v>207</v>
      </c>
      <c r="H152" t="s">
        <v>285</v>
      </c>
    </row>
    <row r="153" spans="1:8" x14ac:dyDescent="0.25">
      <c r="A153" t="s">
        <v>2</v>
      </c>
      <c r="B153" t="str">
        <f>"29313920      "</f>
        <v xml:space="preserve">29313920      </v>
      </c>
      <c r="C153" t="s">
        <v>293</v>
      </c>
      <c r="E153" s="3">
        <v>42736</v>
      </c>
      <c r="F153" s="3">
        <v>44562</v>
      </c>
      <c r="G153" t="s">
        <v>207</v>
      </c>
      <c r="H153" t="s">
        <v>285</v>
      </c>
    </row>
    <row r="154" spans="1:8" x14ac:dyDescent="0.25">
      <c r="A154" t="s">
        <v>2</v>
      </c>
      <c r="B154" t="str">
        <f>"29313930      "</f>
        <v xml:space="preserve">29313930      </v>
      </c>
      <c r="C154" t="s">
        <v>294</v>
      </c>
      <c r="E154" s="3">
        <v>42736</v>
      </c>
      <c r="F154" s="3">
        <v>44562</v>
      </c>
      <c r="G154" t="s">
        <v>207</v>
      </c>
      <c r="H154" t="s">
        <v>285</v>
      </c>
    </row>
    <row r="155" spans="1:8" x14ac:dyDescent="0.25">
      <c r="A155" t="s">
        <v>2</v>
      </c>
      <c r="B155" t="str">
        <f>"29313950      "</f>
        <v xml:space="preserve">29313950      </v>
      </c>
      <c r="C155" t="s">
        <v>295</v>
      </c>
      <c r="E155" s="3">
        <v>42736</v>
      </c>
      <c r="F155" s="3">
        <v>44562</v>
      </c>
      <c r="G155" t="s">
        <v>207</v>
      </c>
      <c r="H155" t="s">
        <v>285</v>
      </c>
    </row>
    <row r="156" spans="1:8" x14ac:dyDescent="0.25">
      <c r="A156" t="s">
        <v>2</v>
      </c>
      <c r="B156" t="str">
        <f>"29313960      "</f>
        <v xml:space="preserve">29313960      </v>
      </c>
      <c r="C156" t="s">
        <v>296</v>
      </c>
      <c r="E156" s="3">
        <v>42736</v>
      </c>
      <c r="F156" s="3">
        <v>44562</v>
      </c>
      <c r="G156" t="s">
        <v>207</v>
      </c>
      <c r="H156" t="s">
        <v>285</v>
      </c>
    </row>
    <row r="157" spans="1:8" x14ac:dyDescent="0.25">
      <c r="A157" t="s">
        <v>2</v>
      </c>
      <c r="B157" t="str">
        <f>"29313990      "</f>
        <v xml:space="preserve">29313990      </v>
      </c>
      <c r="C157" t="s">
        <v>297</v>
      </c>
      <c r="E157" s="3">
        <v>42736</v>
      </c>
      <c r="F157" s="3">
        <v>44562</v>
      </c>
      <c r="G157" t="s">
        <v>207</v>
      </c>
      <c r="H157" t="s">
        <v>285</v>
      </c>
    </row>
    <row r="158" spans="1:8" x14ac:dyDescent="0.25">
      <c r="A158" t="s">
        <v>12</v>
      </c>
      <c r="B158" t="str">
        <f>"29314100      "</f>
        <v xml:space="preserve">29314100      </v>
      </c>
      <c r="C158" t="s">
        <v>298</v>
      </c>
      <c r="D158" t="s">
        <v>299</v>
      </c>
      <c r="E158" s="3">
        <v>44562</v>
      </c>
      <c r="G158" t="s">
        <v>207</v>
      </c>
      <c r="H158" t="s">
        <v>285</v>
      </c>
    </row>
    <row r="159" spans="1:8" x14ac:dyDescent="0.25">
      <c r="A159" t="s">
        <v>12</v>
      </c>
      <c r="B159" t="str">
        <f>"29314200      "</f>
        <v xml:space="preserve">29314200      </v>
      </c>
      <c r="C159" t="s">
        <v>300</v>
      </c>
      <c r="D159" t="s">
        <v>301</v>
      </c>
      <c r="E159" s="3">
        <v>44562</v>
      </c>
      <c r="G159" t="s">
        <v>207</v>
      </c>
      <c r="H159" t="s">
        <v>285</v>
      </c>
    </row>
    <row r="160" spans="1:8" x14ac:dyDescent="0.25">
      <c r="A160" t="s">
        <v>12</v>
      </c>
      <c r="B160" t="str">
        <f>"29314300      "</f>
        <v xml:space="preserve">29314300      </v>
      </c>
      <c r="C160" t="s">
        <v>302</v>
      </c>
      <c r="D160" t="s">
        <v>303</v>
      </c>
      <c r="E160" s="3">
        <v>44562</v>
      </c>
      <c r="G160" t="s">
        <v>207</v>
      </c>
      <c r="H160" t="s">
        <v>285</v>
      </c>
    </row>
    <row r="161" spans="1:8" x14ac:dyDescent="0.25">
      <c r="A161" t="s">
        <v>12</v>
      </c>
      <c r="B161" t="str">
        <f>"29314400      "</f>
        <v xml:space="preserve">29314400      </v>
      </c>
      <c r="C161" t="s">
        <v>304</v>
      </c>
      <c r="D161" t="s">
        <v>305</v>
      </c>
      <c r="E161" s="3">
        <v>44562</v>
      </c>
      <c r="G161" t="s">
        <v>207</v>
      </c>
      <c r="H161" t="s">
        <v>285</v>
      </c>
    </row>
    <row r="162" spans="1:8" x14ac:dyDescent="0.25">
      <c r="A162" t="s">
        <v>12</v>
      </c>
      <c r="B162" t="str">
        <f>"29314500      "</f>
        <v xml:space="preserve">29314500      </v>
      </c>
      <c r="C162" t="s">
        <v>306</v>
      </c>
      <c r="D162" t="s">
        <v>307</v>
      </c>
      <c r="E162" s="3">
        <v>44562</v>
      </c>
      <c r="G162" t="s">
        <v>207</v>
      </c>
      <c r="H162" t="s">
        <v>285</v>
      </c>
    </row>
    <row r="163" spans="1:8" x14ac:dyDescent="0.25">
      <c r="A163" t="s">
        <v>12</v>
      </c>
      <c r="B163" t="str">
        <f>"29314600      "</f>
        <v xml:space="preserve">29314600      </v>
      </c>
      <c r="C163" t="s">
        <v>308</v>
      </c>
      <c r="D163" t="s">
        <v>309</v>
      </c>
      <c r="E163" s="3">
        <v>44562</v>
      </c>
      <c r="G163" t="s">
        <v>207</v>
      </c>
      <c r="H163" t="s">
        <v>285</v>
      </c>
    </row>
    <row r="164" spans="1:8" x14ac:dyDescent="0.25">
      <c r="A164" t="s">
        <v>12</v>
      </c>
      <c r="B164" t="str">
        <f>"29314700      "</f>
        <v xml:space="preserve">29314700      </v>
      </c>
      <c r="C164" t="s">
        <v>310</v>
      </c>
      <c r="D164" t="s">
        <v>311</v>
      </c>
      <c r="E164" s="3">
        <v>44562</v>
      </c>
      <c r="G164" t="s">
        <v>207</v>
      </c>
      <c r="H164" t="s">
        <v>285</v>
      </c>
    </row>
    <row r="165" spans="1:8" x14ac:dyDescent="0.25">
      <c r="A165" t="s">
        <v>12</v>
      </c>
      <c r="B165" t="str">
        <f>"29314800      "</f>
        <v xml:space="preserve">29314800      </v>
      </c>
      <c r="C165" t="s">
        <v>312</v>
      </c>
      <c r="D165" t="s">
        <v>313</v>
      </c>
      <c r="E165" s="3">
        <v>44562</v>
      </c>
      <c r="G165" t="s">
        <v>207</v>
      </c>
      <c r="H165" t="s">
        <v>285</v>
      </c>
    </row>
    <row r="166" spans="1:8" x14ac:dyDescent="0.25">
      <c r="A166" t="s">
        <v>12</v>
      </c>
      <c r="B166" t="str">
        <f>"29314910      "</f>
        <v xml:space="preserve">29314910      </v>
      </c>
      <c r="C166" t="s">
        <v>314</v>
      </c>
      <c r="D166" t="s">
        <v>315</v>
      </c>
      <c r="E166" s="3">
        <v>44562</v>
      </c>
      <c r="G166" t="s">
        <v>207</v>
      </c>
      <c r="H166" t="s">
        <v>285</v>
      </c>
    </row>
    <row r="167" spans="1:8" x14ac:dyDescent="0.25">
      <c r="A167" t="s">
        <v>12</v>
      </c>
      <c r="B167" t="str">
        <f>"29314920      "</f>
        <v xml:space="preserve">29314920      </v>
      </c>
      <c r="C167" t="s">
        <v>316</v>
      </c>
      <c r="D167" t="s">
        <v>317</v>
      </c>
      <c r="E167" s="3">
        <v>44562</v>
      </c>
      <c r="G167" t="s">
        <v>207</v>
      </c>
      <c r="H167" t="s">
        <v>285</v>
      </c>
    </row>
    <row r="168" spans="1:8" x14ac:dyDescent="0.25">
      <c r="A168" t="s">
        <v>12</v>
      </c>
      <c r="B168" t="str">
        <f>"29314930      "</f>
        <v xml:space="preserve">29314930      </v>
      </c>
      <c r="C168" t="s">
        <v>318</v>
      </c>
      <c r="D168" t="s">
        <v>319</v>
      </c>
      <c r="E168" s="3">
        <v>44562</v>
      </c>
      <c r="G168" t="s">
        <v>207</v>
      </c>
      <c r="H168" t="s">
        <v>285</v>
      </c>
    </row>
    <row r="169" spans="1:8" x14ac:dyDescent="0.25">
      <c r="A169" t="s">
        <v>12</v>
      </c>
      <c r="B169" t="str">
        <f>"29314940      "</f>
        <v xml:space="preserve">29314940      </v>
      </c>
      <c r="C169" t="s">
        <v>320</v>
      </c>
      <c r="D169" t="s">
        <v>321</v>
      </c>
      <c r="E169" s="3">
        <v>44562</v>
      </c>
      <c r="G169" t="s">
        <v>207</v>
      </c>
      <c r="H169" t="s">
        <v>285</v>
      </c>
    </row>
    <row r="170" spans="1:8" x14ac:dyDescent="0.25">
      <c r="A170" t="s">
        <v>12</v>
      </c>
      <c r="B170" t="str">
        <f>"29314990      "</f>
        <v xml:space="preserve">29314990      </v>
      </c>
      <c r="C170" t="s">
        <v>322</v>
      </c>
      <c r="D170" t="s">
        <v>16</v>
      </c>
      <c r="E170" s="3">
        <v>44562</v>
      </c>
      <c r="G170" t="s">
        <v>207</v>
      </c>
      <c r="H170" t="s">
        <v>285</v>
      </c>
    </row>
    <row r="171" spans="1:8" x14ac:dyDescent="0.25">
      <c r="A171" t="s">
        <v>12</v>
      </c>
      <c r="B171" t="str">
        <f>"29315100      "</f>
        <v xml:space="preserve">29315100      </v>
      </c>
      <c r="C171" t="s">
        <v>323</v>
      </c>
      <c r="D171" t="s">
        <v>324</v>
      </c>
      <c r="E171" s="3">
        <v>44562</v>
      </c>
      <c r="G171" t="s">
        <v>207</v>
      </c>
      <c r="H171" t="s">
        <v>285</v>
      </c>
    </row>
    <row r="172" spans="1:8" x14ac:dyDescent="0.25">
      <c r="A172" t="s">
        <v>12</v>
      </c>
      <c r="B172" t="str">
        <f>"29315200      "</f>
        <v xml:space="preserve">29315200      </v>
      </c>
      <c r="C172" t="s">
        <v>325</v>
      </c>
      <c r="D172" t="s">
        <v>326</v>
      </c>
      <c r="E172" s="3">
        <v>44562</v>
      </c>
      <c r="G172" t="s">
        <v>207</v>
      </c>
      <c r="H172" t="s">
        <v>285</v>
      </c>
    </row>
    <row r="173" spans="1:8" x14ac:dyDescent="0.25">
      <c r="A173" t="s">
        <v>12</v>
      </c>
      <c r="B173" t="str">
        <f>"29315300      "</f>
        <v xml:space="preserve">29315300      </v>
      </c>
      <c r="C173" t="s">
        <v>327</v>
      </c>
      <c r="D173" t="s">
        <v>328</v>
      </c>
      <c r="E173" s="3">
        <v>44562</v>
      </c>
      <c r="G173" t="s">
        <v>207</v>
      </c>
      <c r="H173" t="s">
        <v>285</v>
      </c>
    </row>
    <row r="174" spans="1:8" x14ac:dyDescent="0.25">
      <c r="A174" t="s">
        <v>12</v>
      </c>
      <c r="B174" t="str">
        <f>"29315400      "</f>
        <v xml:space="preserve">29315400      </v>
      </c>
      <c r="C174" t="s">
        <v>329</v>
      </c>
      <c r="D174" t="s">
        <v>330</v>
      </c>
      <c r="E174" s="3">
        <v>44562</v>
      </c>
      <c r="G174" t="s">
        <v>207</v>
      </c>
      <c r="H174" t="s">
        <v>285</v>
      </c>
    </row>
    <row r="175" spans="1:8" x14ac:dyDescent="0.25">
      <c r="A175" t="s">
        <v>12</v>
      </c>
      <c r="B175" t="str">
        <f>"29315910      "</f>
        <v xml:space="preserve">29315910      </v>
      </c>
      <c r="C175" t="s">
        <v>331</v>
      </c>
      <c r="D175" t="s">
        <v>332</v>
      </c>
      <c r="E175" s="3">
        <v>44562</v>
      </c>
      <c r="G175" t="s">
        <v>207</v>
      </c>
      <c r="H175" t="s">
        <v>285</v>
      </c>
    </row>
    <row r="176" spans="1:8" x14ac:dyDescent="0.25">
      <c r="A176" t="s">
        <v>12</v>
      </c>
      <c r="B176" t="str">
        <f>"29315990      "</f>
        <v xml:space="preserve">29315990      </v>
      </c>
      <c r="C176" t="s">
        <v>333</v>
      </c>
      <c r="D176" t="s">
        <v>16</v>
      </c>
      <c r="E176" s="3">
        <v>44562</v>
      </c>
      <c r="G176" t="s">
        <v>207</v>
      </c>
      <c r="H176" t="s">
        <v>285</v>
      </c>
    </row>
    <row r="177" spans="1:9" x14ac:dyDescent="0.25">
      <c r="A177" t="s">
        <v>12</v>
      </c>
      <c r="B177" t="str">
        <f>"29329600      "</f>
        <v xml:space="preserve">29329600      </v>
      </c>
      <c r="C177" t="s">
        <v>334</v>
      </c>
      <c r="D177" t="s">
        <v>335</v>
      </c>
      <c r="E177" s="3">
        <v>44562</v>
      </c>
      <c r="G177" t="s">
        <v>207</v>
      </c>
      <c r="H177" t="s">
        <v>336</v>
      </c>
      <c r="I177" t="s">
        <v>337</v>
      </c>
    </row>
    <row r="178" spans="1:9" x14ac:dyDescent="0.25">
      <c r="A178" t="s">
        <v>12</v>
      </c>
      <c r="B178" t="str">
        <f>"29333400      "</f>
        <v xml:space="preserve">29333400      </v>
      </c>
      <c r="C178" t="s">
        <v>338</v>
      </c>
      <c r="D178" t="s">
        <v>339</v>
      </c>
      <c r="E178" s="3">
        <v>44562</v>
      </c>
      <c r="G178" t="s">
        <v>207</v>
      </c>
      <c r="H178" t="s">
        <v>340</v>
      </c>
      <c r="I178" t="s">
        <v>341</v>
      </c>
    </row>
    <row r="179" spans="1:9" x14ac:dyDescent="0.25">
      <c r="A179" t="s">
        <v>12</v>
      </c>
      <c r="B179" t="str">
        <f>"29333500      "</f>
        <v xml:space="preserve">29333500      </v>
      </c>
      <c r="C179" t="s">
        <v>342</v>
      </c>
      <c r="D179" t="s">
        <v>343</v>
      </c>
      <c r="E179" s="3">
        <v>44562</v>
      </c>
      <c r="G179" t="s">
        <v>207</v>
      </c>
      <c r="H179" t="s">
        <v>340</v>
      </c>
      <c r="I179" t="s">
        <v>341</v>
      </c>
    </row>
    <row r="180" spans="1:9" x14ac:dyDescent="0.25">
      <c r="A180" t="s">
        <v>12</v>
      </c>
      <c r="B180" t="str">
        <f>"29333600      "</f>
        <v xml:space="preserve">29333600      </v>
      </c>
      <c r="C180" t="s">
        <v>344</v>
      </c>
      <c r="D180" t="s">
        <v>345</v>
      </c>
      <c r="E180" s="3">
        <v>44562</v>
      </c>
      <c r="G180" t="s">
        <v>207</v>
      </c>
      <c r="H180" t="s">
        <v>340</v>
      </c>
      <c r="I180" t="s">
        <v>341</v>
      </c>
    </row>
    <row r="181" spans="1:9" x14ac:dyDescent="0.25">
      <c r="A181" t="s">
        <v>12</v>
      </c>
      <c r="B181" t="str">
        <f>"29333700      "</f>
        <v xml:space="preserve">29333700      </v>
      </c>
      <c r="C181" t="s">
        <v>346</v>
      </c>
      <c r="D181" t="s">
        <v>347</v>
      </c>
      <c r="E181" s="3">
        <v>44562</v>
      </c>
      <c r="G181" t="s">
        <v>207</v>
      </c>
      <c r="H181" t="s">
        <v>340</v>
      </c>
      <c r="I181" t="s">
        <v>341</v>
      </c>
    </row>
    <row r="182" spans="1:9" x14ac:dyDescent="0.25">
      <c r="A182" t="s">
        <v>12</v>
      </c>
      <c r="B182" t="str">
        <f>"29349200      "</f>
        <v xml:space="preserve">29349200      </v>
      </c>
      <c r="C182" t="s">
        <v>348</v>
      </c>
      <c r="D182" t="s">
        <v>349</v>
      </c>
      <c r="E182" s="3">
        <v>44562</v>
      </c>
      <c r="G182" t="s">
        <v>207</v>
      </c>
      <c r="H182" t="s">
        <v>350</v>
      </c>
      <c r="I182" t="s">
        <v>337</v>
      </c>
    </row>
    <row r="183" spans="1:9" x14ac:dyDescent="0.25">
      <c r="A183" t="s">
        <v>12</v>
      </c>
      <c r="B183" t="str">
        <f>"29394500      "</f>
        <v xml:space="preserve">29394500      </v>
      </c>
      <c r="C183" t="s">
        <v>351</v>
      </c>
      <c r="D183" t="s">
        <v>352</v>
      </c>
      <c r="E183" s="3">
        <v>44562</v>
      </c>
      <c r="G183" t="s">
        <v>207</v>
      </c>
      <c r="H183" t="s">
        <v>353</v>
      </c>
      <c r="I183" t="s">
        <v>354</v>
      </c>
    </row>
    <row r="184" spans="1:9" x14ac:dyDescent="0.25">
      <c r="A184" t="s">
        <v>2</v>
      </c>
      <c r="B184" t="str">
        <f>"29397100      "</f>
        <v xml:space="preserve">29397100      </v>
      </c>
      <c r="C184" t="s">
        <v>355</v>
      </c>
      <c r="E184" s="3">
        <v>42736</v>
      </c>
      <c r="F184" s="3">
        <v>44562</v>
      </c>
      <c r="G184" t="s">
        <v>207</v>
      </c>
      <c r="H184" t="s">
        <v>353</v>
      </c>
    </row>
    <row r="185" spans="1:9" x14ac:dyDescent="0.25">
      <c r="A185" t="s">
        <v>12</v>
      </c>
      <c r="B185" t="str">
        <f>"29397200      "</f>
        <v xml:space="preserve">29397200      </v>
      </c>
      <c r="C185" t="s">
        <v>356</v>
      </c>
      <c r="D185" t="s">
        <v>357</v>
      </c>
      <c r="E185" s="3">
        <v>44562</v>
      </c>
      <c r="G185" t="s">
        <v>207</v>
      </c>
      <c r="H185" t="s">
        <v>353</v>
      </c>
    </row>
    <row r="186" spans="1:9" x14ac:dyDescent="0.25">
      <c r="A186" t="s">
        <v>2</v>
      </c>
      <c r="B186" t="str">
        <f>"30021100      "</f>
        <v xml:space="preserve">30021100      </v>
      </c>
      <c r="C186" t="s">
        <v>358</v>
      </c>
      <c r="E186" s="3">
        <v>42736</v>
      </c>
      <c r="F186" s="3">
        <v>44562</v>
      </c>
      <c r="G186" t="s">
        <v>359</v>
      </c>
      <c r="H186" t="s">
        <v>360</v>
      </c>
    </row>
    <row r="187" spans="1:9" x14ac:dyDescent="0.25">
      <c r="A187" t="s">
        <v>2</v>
      </c>
      <c r="B187" t="str">
        <f>"30021900      "</f>
        <v xml:space="preserve">30021900      </v>
      </c>
      <c r="C187" t="s">
        <v>361</v>
      </c>
      <c r="E187" s="3">
        <v>42736</v>
      </c>
      <c r="F187" s="3">
        <v>44562</v>
      </c>
      <c r="G187" t="s">
        <v>359</v>
      </c>
      <c r="H187" t="s">
        <v>360</v>
      </c>
    </row>
    <row r="188" spans="1:9" x14ac:dyDescent="0.25">
      <c r="A188" t="s">
        <v>2</v>
      </c>
      <c r="B188" t="str">
        <f>"30022010      "</f>
        <v xml:space="preserve">30022010      </v>
      </c>
      <c r="C188" t="s">
        <v>362</v>
      </c>
      <c r="E188" s="3">
        <v>44197</v>
      </c>
      <c r="F188" s="3">
        <v>44562</v>
      </c>
      <c r="G188" t="s">
        <v>359</v>
      </c>
      <c r="H188" t="s">
        <v>360</v>
      </c>
      <c r="I188" t="s">
        <v>363</v>
      </c>
    </row>
    <row r="189" spans="1:9" x14ac:dyDescent="0.25">
      <c r="A189" t="s">
        <v>2</v>
      </c>
      <c r="B189" t="str">
        <f>"30022090      "</f>
        <v xml:space="preserve">30022090      </v>
      </c>
      <c r="C189" t="s">
        <v>364</v>
      </c>
      <c r="E189" s="3">
        <v>44197</v>
      </c>
      <c r="F189" s="3">
        <v>44562</v>
      </c>
      <c r="G189" t="s">
        <v>359</v>
      </c>
      <c r="H189" t="s">
        <v>360</v>
      </c>
      <c r="I189" t="s">
        <v>363</v>
      </c>
    </row>
    <row r="190" spans="1:9" x14ac:dyDescent="0.25">
      <c r="A190" t="s">
        <v>2</v>
      </c>
      <c r="B190" t="str">
        <f>"30023000      "</f>
        <v xml:space="preserve">30023000      </v>
      </c>
      <c r="C190" t="s">
        <v>365</v>
      </c>
      <c r="E190" s="3">
        <v>41122</v>
      </c>
      <c r="F190" s="3">
        <v>44562</v>
      </c>
      <c r="G190" t="s">
        <v>359</v>
      </c>
      <c r="H190" t="s">
        <v>360</v>
      </c>
      <c r="I190" t="s">
        <v>366</v>
      </c>
    </row>
    <row r="191" spans="1:9" x14ac:dyDescent="0.25">
      <c r="A191" t="s">
        <v>12</v>
      </c>
      <c r="B191" t="str">
        <f>"30024110      "</f>
        <v xml:space="preserve">30024110      </v>
      </c>
      <c r="C191" t="s">
        <v>367</v>
      </c>
      <c r="D191" t="s">
        <v>368</v>
      </c>
      <c r="E191" s="3">
        <v>44562</v>
      </c>
      <c r="G191" t="s">
        <v>359</v>
      </c>
      <c r="H191" t="s">
        <v>360</v>
      </c>
    </row>
    <row r="192" spans="1:9" x14ac:dyDescent="0.25">
      <c r="A192" t="s">
        <v>12</v>
      </c>
      <c r="B192" t="str">
        <f>"30024190      "</f>
        <v xml:space="preserve">30024190      </v>
      </c>
      <c r="C192" t="s">
        <v>369</v>
      </c>
      <c r="D192" t="s">
        <v>16</v>
      </c>
      <c r="E192" s="3">
        <v>44562</v>
      </c>
      <c r="G192" t="s">
        <v>359</v>
      </c>
      <c r="H192" t="s">
        <v>360</v>
      </c>
    </row>
    <row r="193" spans="1:9" x14ac:dyDescent="0.25">
      <c r="A193" t="s">
        <v>12</v>
      </c>
      <c r="B193" t="str">
        <f>"30024200      "</f>
        <v xml:space="preserve">30024200      </v>
      </c>
      <c r="C193" t="s">
        <v>370</v>
      </c>
      <c r="D193" t="s">
        <v>371</v>
      </c>
      <c r="E193" s="3">
        <v>44562</v>
      </c>
      <c r="G193" t="s">
        <v>359</v>
      </c>
      <c r="H193" t="s">
        <v>360</v>
      </c>
    </row>
    <row r="194" spans="1:9" x14ac:dyDescent="0.25">
      <c r="A194" t="s">
        <v>12</v>
      </c>
      <c r="B194" t="str">
        <f>"30024900      "</f>
        <v xml:space="preserve">30024900      </v>
      </c>
      <c r="C194" t="s">
        <v>372</v>
      </c>
      <c r="D194" t="s">
        <v>373</v>
      </c>
      <c r="E194" s="3">
        <v>44562</v>
      </c>
      <c r="G194" t="s">
        <v>359</v>
      </c>
      <c r="H194" t="s">
        <v>360</v>
      </c>
    </row>
    <row r="195" spans="1:9" x14ac:dyDescent="0.25">
      <c r="A195" t="s">
        <v>12</v>
      </c>
      <c r="B195" t="str">
        <f>"30025100      "</f>
        <v xml:space="preserve">30025100      </v>
      </c>
      <c r="C195" t="s">
        <v>374</v>
      </c>
      <c r="D195" t="s">
        <v>375</v>
      </c>
      <c r="E195" s="3">
        <v>44562</v>
      </c>
      <c r="G195" t="s">
        <v>359</v>
      </c>
      <c r="H195" t="s">
        <v>360</v>
      </c>
    </row>
    <row r="196" spans="1:9" x14ac:dyDescent="0.25">
      <c r="A196" t="s">
        <v>12</v>
      </c>
      <c r="B196" t="str">
        <f>"30025900      "</f>
        <v xml:space="preserve">30025900      </v>
      </c>
      <c r="C196" t="s">
        <v>376</v>
      </c>
      <c r="D196" t="s">
        <v>377</v>
      </c>
      <c r="E196" s="3">
        <v>44562</v>
      </c>
      <c r="G196" t="s">
        <v>359</v>
      </c>
      <c r="H196" t="s">
        <v>360</v>
      </c>
    </row>
    <row r="197" spans="1:9" x14ac:dyDescent="0.25">
      <c r="A197" t="s">
        <v>2</v>
      </c>
      <c r="B197" t="str">
        <f>"30029050      "</f>
        <v xml:space="preserve">30029050      </v>
      </c>
      <c r="C197" t="s">
        <v>378</v>
      </c>
      <c r="E197" s="3">
        <v>41122</v>
      </c>
      <c r="F197" s="3">
        <v>44562</v>
      </c>
      <c r="G197" t="s">
        <v>359</v>
      </c>
      <c r="H197" t="s">
        <v>360</v>
      </c>
      <c r="I197" t="s">
        <v>16</v>
      </c>
    </row>
    <row r="198" spans="1:9" x14ac:dyDescent="0.25">
      <c r="A198" t="s">
        <v>2</v>
      </c>
      <c r="B198" t="str">
        <f>"30062000      "</f>
        <v xml:space="preserve">30062000      </v>
      </c>
      <c r="C198" t="s">
        <v>379</v>
      </c>
      <c r="E198" s="3">
        <v>41122</v>
      </c>
      <c r="F198" s="3">
        <v>44562</v>
      </c>
      <c r="G198" t="s">
        <v>359</v>
      </c>
      <c r="H198" t="s">
        <v>380</v>
      </c>
      <c r="I198" t="s">
        <v>381</v>
      </c>
    </row>
    <row r="199" spans="1:9" x14ac:dyDescent="0.25">
      <c r="A199" t="s">
        <v>12</v>
      </c>
      <c r="B199" t="str">
        <f>"30069300      "</f>
        <v xml:space="preserve">30069300      </v>
      </c>
      <c r="C199" t="s">
        <v>382</v>
      </c>
      <c r="D199" t="s">
        <v>383</v>
      </c>
      <c r="E199" s="3">
        <v>44562</v>
      </c>
      <c r="G199" t="s">
        <v>359</v>
      </c>
      <c r="H199" t="s">
        <v>380</v>
      </c>
      <c r="I199" t="s">
        <v>337</v>
      </c>
    </row>
    <row r="200" spans="1:9" x14ac:dyDescent="0.25">
      <c r="A200" t="s">
        <v>12</v>
      </c>
      <c r="B200" t="str">
        <f>"32041800      "</f>
        <v xml:space="preserve">32041800      </v>
      </c>
      <c r="C200" t="s">
        <v>384</v>
      </c>
      <c r="D200" t="s">
        <v>385</v>
      </c>
      <c r="E200" s="3">
        <v>44562</v>
      </c>
      <c r="G200" t="s">
        <v>386</v>
      </c>
      <c r="H200" t="s">
        <v>387</v>
      </c>
      <c r="I200" t="s">
        <v>388</v>
      </c>
    </row>
    <row r="201" spans="1:9" x14ac:dyDescent="0.25">
      <c r="A201" t="s">
        <v>2</v>
      </c>
      <c r="B201" t="str">
        <f>"33012941      "</f>
        <v xml:space="preserve">33012941      </v>
      </c>
      <c r="C201" t="s">
        <v>389</v>
      </c>
      <c r="E201" s="3">
        <v>41122</v>
      </c>
      <c r="F201" s="3">
        <v>44562</v>
      </c>
      <c r="G201" t="s">
        <v>390</v>
      </c>
      <c r="H201" t="s">
        <v>391</v>
      </c>
      <c r="I201" t="s">
        <v>392</v>
      </c>
    </row>
    <row r="202" spans="1:9" x14ac:dyDescent="0.25">
      <c r="A202" t="s">
        <v>12</v>
      </c>
      <c r="B202" t="str">
        <f>"33012942      "</f>
        <v xml:space="preserve">33012942      </v>
      </c>
      <c r="C202" t="s">
        <v>393</v>
      </c>
      <c r="D202" t="s">
        <v>394</v>
      </c>
      <c r="E202" s="3">
        <v>44562</v>
      </c>
      <c r="G202" t="s">
        <v>390</v>
      </c>
      <c r="H202" t="s">
        <v>391</v>
      </c>
      <c r="I202" t="s">
        <v>392</v>
      </c>
    </row>
    <row r="203" spans="1:9" x14ac:dyDescent="0.25">
      <c r="A203" t="s">
        <v>12</v>
      </c>
      <c r="B203" t="str">
        <f>"33012949      "</f>
        <v xml:space="preserve">33012949      </v>
      </c>
      <c r="C203" t="s">
        <v>395</v>
      </c>
      <c r="D203" t="s">
        <v>396</v>
      </c>
      <c r="E203" s="3">
        <v>44562</v>
      </c>
      <c r="G203" t="s">
        <v>390</v>
      </c>
      <c r="H203" t="s">
        <v>391</v>
      </c>
      <c r="I203" t="s">
        <v>392</v>
      </c>
    </row>
    <row r="204" spans="1:9" x14ac:dyDescent="0.25">
      <c r="A204" t="s">
        <v>2</v>
      </c>
      <c r="B204" t="str">
        <f>"34021110      "</f>
        <v xml:space="preserve">34021110      </v>
      </c>
      <c r="C204" t="s">
        <v>397</v>
      </c>
      <c r="E204" s="3">
        <v>41122</v>
      </c>
      <c r="F204" s="3">
        <v>44562</v>
      </c>
      <c r="G204" t="s">
        <v>398</v>
      </c>
      <c r="H204" t="s">
        <v>399</v>
      </c>
      <c r="I204" t="s">
        <v>400</v>
      </c>
    </row>
    <row r="205" spans="1:9" x14ac:dyDescent="0.25">
      <c r="A205" t="s">
        <v>2</v>
      </c>
      <c r="B205" t="str">
        <f>"34021190      "</f>
        <v xml:space="preserve">34021190      </v>
      </c>
      <c r="C205" t="s">
        <v>401</v>
      </c>
      <c r="E205" s="3">
        <v>41122</v>
      </c>
      <c r="F205" s="3">
        <v>44562</v>
      </c>
      <c r="G205" t="s">
        <v>398</v>
      </c>
      <c r="H205" t="s">
        <v>399</v>
      </c>
      <c r="I205" t="s">
        <v>400</v>
      </c>
    </row>
    <row r="206" spans="1:9" x14ac:dyDescent="0.25">
      <c r="A206" t="s">
        <v>2</v>
      </c>
      <c r="B206" t="str">
        <f>"34021200      "</f>
        <v xml:space="preserve">34021200      </v>
      </c>
      <c r="C206" t="s">
        <v>402</v>
      </c>
      <c r="E206" s="3">
        <v>41122</v>
      </c>
      <c r="F206" s="3">
        <v>44562</v>
      </c>
      <c r="G206" t="s">
        <v>398</v>
      </c>
      <c r="H206" t="s">
        <v>399</v>
      </c>
      <c r="I206" t="s">
        <v>403</v>
      </c>
    </row>
    <row r="207" spans="1:9" x14ac:dyDescent="0.25">
      <c r="A207" t="s">
        <v>2</v>
      </c>
      <c r="B207" t="str">
        <f>"34021300      "</f>
        <v xml:space="preserve">34021300      </v>
      </c>
      <c r="C207" t="s">
        <v>404</v>
      </c>
      <c r="E207" s="3">
        <v>41122</v>
      </c>
      <c r="F207" s="3">
        <v>44562</v>
      </c>
      <c r="G207" t="s">
        <v>398</v>
      </c>
      <c r="H207" t="s">
        <v>399</v>
      </c>
      <c r="I207" t="s">
        <v>405</v>
      </c>
    </row>
    <row r="208" spans="1:9" x14ac:dyDescent="0.25">
      <c r="A208" t="s">
        <v>2</v>
      </c>
      <c r="B208" t="str">
        <f>"34021900      "</f>
        <v xml:space="preserve">34021900      </v>
      </c>
      <c r="C208" t="s">
        <v>406</v>
      </c>
      <c r="E208" s="3">
        <v>41122</v>
      </c>
      <c r="F208" s="3">
        <v>44562</v>
      </c>
      <c r="G208" t="s">
        <v>398</v>
      </c>
      <c r="H208" t="s">
        <v>399</v>
      </c>
      <c r="I208" t="s">
        <v>407</v>
      </c>
    </row>
    <row r="209" spans="1:9" x14ac:dyDescent="0.25">
      <c r="A209" t="s">
        <v>2</v>
      </c>
      <c r="B209" t="str">
        <f>"34022020      "</f>
        <v xml:space="preserve">34022020      </v>
      </c>
      <c r="C209" t="s">
        <v>408</v>
      </c>
      <c r="E209" s="3">
        <v>41122</v>
      </c>
      <c r="F209" s="3">
        <v>44562</v>
      </c>
      <c r="G209" t="s">
        <v>398</v>
      </c>
      <c r="H209" t="s">
        <v>399</v>
      </c>
      <c r="I209" t="s">
        <v>409</v>
      </c>
    </row>
    <row r="210" spans="1:9" x14ac:dyDescent="0.25">
      <c r="A210" t="s">
        <v>2</v>
      </c>
      <c r="B210" t="str">
        <f>"34022090      "</f>
        <v xml:space="preserve">34022090      </v>
      </c>
      <c r="C210" t="s">
        <v>410</v>
      </c>
      <c r="E210" s="3">
        <v>41122</v>
      </c>
      <c r="F210" s="3">
        <v>44562</v>
      </c>
      <c r="G210" t="s">
        <v>398</v>
      </c>
      <c r="H210" t="s">
        <v>399</v>
      </c>
      <c r="I210" t="s">
        <v>409</v>
      </c>
    </row>
    <row r="211" spans="1:9" x14ac:dyDescent="0.25">
      <c r="A211" t="s">
        <v>12</v>
      </c>
      <c r="B211" t="str">
        <f>"34023100      "</f>
        <v xml:space="preserve">34023100      </v>
      </c>
      <c r="C211" t="s">
        <v>411</v>
      </c>
      <c r="D211" t="s">
        <v>412</v>
      </c>
      <c r="E211" s="3">
        <v>44562</v>
      </c>
      <c r="G211" t="s">
        <v>398</v>
      </c>
      <c r="H211" t="s">
        <v>399</v>
      </c>
    </row>
    <row r="212" spans="1:9" x14ac:dyDescent="0.25">
      <c r="A212" t="s">
        <v>12</v>
      </c>
      <c r="B212" t="str">
        <f>"34023910      "</f>
        <v xml:space="preserve">34023910      </v>
      </c>
      <c r="C212" t="s">
        <v>413</v>
      </c>
      <c r="D212" t="s">
        <v>414</v>
      </c>
      <c r="E212" s="3">
        <v>44562</v>
      </c>
      <c r="G212" t="s">
        <v>398</v>
      </c>
      <c r="H212" t="s">
        <v>399</v>
      </c>
    </row>
    <row r="213" spans="1:9" x14ac:dyDescent="0.25">
      <c r="A213" t="s">
        <v>12</v>
      </c>
      <c r="B213" t="str">
        <f>"34023990      "</f>
        <v xml:space="preserve">34023990      </v>
      </c>
      <c r="C213" t="s">
        <v>415</v>
      </c>
      <c r="D213" t="s">
        <v>16</v>
      </c>
      <c r="E213" s="3">
        <v>44562</v>
      </c>
      <c r="G213" t="s">
        <v>398</v>
      </c>
      <c r="H213" t="s">
        <v>399</v>
      </c>
    </row>
    <row r="214" spans="1:9" x14ac:dyDescent="0.25">
      <c r="A214" t="s">
        <v>12</v>
      </c>
      <c r="B214" t="str">
        <f>"34024100      "</f>
        <v xml:space="preserve">34024100      </v>
      </c>
      <c r="C214" t="s">
        <v>416</v>
      </c>
      <c r="D214" t="s">
        <v>417</v>
      </c>
      <c r="E214" s="3">
        <v>44562</v>
      </c>
      <c r="G214" t="s">
        <v>398</v>
      </c>
      <c r="H214" t="s">
        <v>399</v>
      </c>
    </row>
    <row r="215" spans="1:9" x14ac:dyDescent="0.25">
      <c r="A215" t="s">
        <v>12</v>
      </c>
      <c r="B215" t="str">
        <f>"34024200      "</f>
        <v xml:space="preserve">34024200      </v>
      </c>
      <c r="C215" t="s">
        <v>418</v>
      </c>
      <c r="D215" t="s">
        <v>419</v>
      </c>
      <c r="E215" s="3">
        <v>44562</v>
      </c>
      <c r="G215" t="s">
        <v>398</v>
      </c>
      <c r="H215" t="s">
        <v>399</v>
      </c>
    </row>
    <row r="216" spans="1:9" x14ac:dyDescent="0.25">
      <c r="A216" t="s">
        <v>12</v>
      </c>
      <c r="B216" t="str">
        <f>"34024900      "</f>
        <v xml:space="preserve">34024900      </v>
      </c>
      <c r="C216" t="s">
        <v>420</v>
      </c>
      <c r="D216" t="s">
        <v>421</v>
      </c>
      <c r="E216" s="3">
        <v>44562</v>
      </c>
      <c r="G216" t="s">
        <v>398</v>
      </c>
      <c r="H216" t="s">
        <v>399</v>
      </c>
    </row>
    <row r="217" spans="1:9" x14ac:dyDescent="0.25">
      <c r="A217" t="s">
        <v>12</v>
      </c>
      <c r="B217" t="str">
        <f>"34025010      "</f>
        <v xml:space="preserve">34025010      </v>
      </c>
      <c r="C217" t="s">
        <v>408</v>
      </c>
      <c r="D217" t="s">
        <v>422</v>
      </c>
      <c r="E217" s="3">
        <v>44562</v>
      </c>
      <c r="G217" t="s">
        <v>398</v>
      </c>
      <c r="H217" t="s">
        <v>399</v>
      </c>
    </row>
    <row r="218" spans="1:9" x14ac:dyDescent="0.25">
      <c r="A218" t="s">
        <v>12</v>
      </c>
      <c r="B218" t="str">
        <f>"34025090      "</f>
        <v xml:space="preserve">34025090      </v>
      </c>
      <c r="C218" t="s">
        <v>410</v>
      </c>
      <c r="D218" t="s">
        <v>423</v>
      </c>
      <c r="E218" s="3">
        <v>44562</v>
      </c>
      <c r="G218" t="s">
        <v>398</v>
      </c>
      <c r="H218" t="s">
        <v>399</v>
      </c>
    </row>
    <row r="219" spans="1:9" x14ac:dyDescent="0.25">
      <c r="A219" t="s">
        <v>2</v>
      </c>
      <c r="B219" t="str">
        <f>"36030020      "</f>
        <v xml:space="preserve">36030020      </v>
      </c>
      <c r="C219" t="s">
        <v>424</v>
      </c>
      <c r="E219" s="3">
        <v>43466</v>
      </c>
      <c r="F219" s="3">
        <v>44562</v>
      </c>
      <c r="G219" t="s">
        <v>425</v>
      </c>
      <c r="H219" t="s">
        <v>426</v>
      </c>
      <c r="I219" t="s">
        <v>427</v>
      </c>
    </row>
    <row r="220" spans="1:9" x14ac:dyDescent="0.25">
      <c r="A220" t="s">
        <v>2</v>
      </c>
      <c r="B220" t="str">
        <f>"36030030      "</f>
        <v xml:space="preserve">36030030      </v>
      </c>
      <c r="C220" t="s">
        <v>428</v>
      </c>
      <c r="E220" s="3">
        <v>43466</v>
      </c>
      <c r="F220" s="3">
        <v>44562</v>
      </c>
      <c r="G220" t="s">
        <v>425</v>
      </c>
      <c r="H220" t="s">
        <v>426</v>
      </c>
      <c r="I220" t="s">
        <v>427</v>
      </c>
    </row>
    <row r="221" spans="1:9" x14ac:dyDescent="0.25">
      <c r="A221" t="s">
        <v>2</v>
      </c>
      <c r="B221" t="str">
        <f>"36030040      "</f>
        <v xml:space="preserve">36030040      </v>
      </c>
      <c r="C221" t="s">
        <v>429</v>
      </c>
      <c r="E221" s="3">
        <v>43466</v>
      </c>
      <c r="F221" s="3">
        <v>44562</v>
      </c>
      <c r="G221" t="s">
        <v>425</v>
      </c>
      <c r="H221" t="s">
        <v>426</v>
      </c>
      <c r="I221" t="s">
        <v>427</v>
      </c>
    </row>
    <row r="222" spans="1:9" x14ac:dyDescent="0.25">
      <c r="A222" t="s">
        <v>2</v>
      </c>
      <c r="B222" t="str">
        <f>"36030050      "</f>
        <v xml:space="preserve">36030050      </v>
      </c>
      <c r="C222" t="s">
        <v>430</v>
      </c>
      <c r="E222" s="3">
        <v>43466</v>
      </c>
      <c r="F222" s="3">
        <v>44562</v>
      </c>
      <c r="G222" t="s">
        <v>425</v>
      </c>
      <c r="H222" t="s">
        <v>426</v>
      </c>
      <c r="I222" t="s">
        <v>427</v>
      </c>
    </row>
    <row r="223" spans="1:9" x14ac:dyDescent="0.25">
      <c r="A223" t="s">
        <v>2</v>
      </c>
      <c r="B223" t="str">
        <f>"36030060      "</f>
        <v xml:space="preserve">36030060      </v>
      </c>
      <c r="C223" t="s">
        <v>431</v>
      </c>
      <c r="E223" s="3">
        <v>43466</v>
      </c>
      <c r="F223" s="3">
        <v>44562</v>
      </c>
      <c r="G223" t="s">
        <v>425</v>
      </c>
      <c r="H223" t="s">
        <v>426</v>
      </c>
      <c r="I223" t="s">
        <v>427</v>
      </c>
    </row>
    <row r="224" spans="1:9" x14ac:dyDescent="0.25">
      <c r="A224" t="s">
        <v>2</v>
      </c>
      <c r="B224" t="str">
        <f>"36030080      "</f>
        <v xml:space="preserve">36030080      </v>
      </c>
      <c r="C224" t="s">
        <v>432</v>
      </c>
      <c r="E224" s="3">
        <v>43466</v>
      </c>
      <c r="F224" s="3">
        <v>44562</v>
      </c>
      <c r="G224" t="s">
        <v>425</v>
      </c>
      <c r="H224" t="s">
        <v>426</v>
      </c>
      <c r="I224" t="s">
        <v>427</v>
      </c>
    </row>
    <row r="225" spans="1:9" x14ac:dyDescent="0.25">
      <c r="A225" t="s">
        <v>12</v>
      </c>
      <c r="B225" t="str">
        <f>"36031000      "</f>
        <v xml:space="preserve">36031000      </v>
      </c>
      <c r="C225" t="s">
        <v>433</v>
      </c>
      <c r="D225" t="s">
        <v>434</v>
      </c>
      <c r="E225" s="3">
        <v>44562</v>
      </c>
      <c r="G225" t="s">
        <v>425</v>
      </c>
      <c r="H225" t="s">
        <v>426</v>
      </c>
    </row>
    <row r="226" spans="1:9" x14ac:dyDescent="0.25">
      <c r="A226" t="s">
        <v>12</v>
      </c>
      <c r="B226" t="str">
        <f>"36032000      "</f>
        <v xml:space="preserve">36032000      </v>
      </c>
      <c r="C226" t="s">
        <v>435</v>
      </c>
      <c r="D226" t="s">
        <v>436</v>
      </c>
      <c r="E226" s="3">
        <v>44562</v>
      </c>
      <c r="G226" t="s">
        <v>425</v>
      </c>
      <c r="H226" t="s">
        <v>426</v>
      </c>
    </row>
    <row r="227" spans="1:9" x14ac:dyDescent="0.25">
      <c r="A227" t="s">
        <v>12</v>
      </c>
      <c r="B227" t="str">
        <f>"36033000      "</f>
        <v xml:space="preserve">36033000      </v>
      </c>
      <c r="C227" t="s">
        <v>437</v>
      </c>
      <c r="D227" t="s">
        <v>438</v>
      </c>
      <c r="E227" s="3">
        <v>44562</v>
      </c>
      <c r="G227" t="s">
        <v>425</v>
      </c>
      <c r="H227" t="s">
        <v>426</v>
      </c>
    </row>
    <row r="228" spans="1:9" x14ac:dyDescent="0.25">
      <c r="A228" t="s">
        <v>12</v>
      </c>
      <c r="B228" t="str">
        <f>"36034000      "</f>
        <v xml:space="preserve">36034000      </v>
      </c>
      <c r="C228" t="s">
        <v>439</v>
      </c>
      <c r="D228" t="s">
        <v>440</v>
      </c>
      <c r="E228" s="3">
        <v>44562</v>
      </c>
      <c r="G228" t="s">
        <v>425</v>
      </c>
      <c r="H228" t="s">
        <v>426</v>
      </c>
    </row>
    <row r="229" spans="1:9" x14ac:dyDescent="0.25">
      <c r="A229" t="s">
        <v>12</v>
      </c>
      <c r="B229" t="str">
        <f>"36035000      "</f>
        <v xml:space="preserve">36035000      </v>
      </c>
      <c r="C229" t="s">
        <v>441</v>
      </c>
      <c r="D229" t="s">
        <v>442</v>
      </c>
      <c r="E229" s="3">
        <v>44562</v>
      </c>
      <c r="G229" t="s">
        <v>425</v>
      </c>
      <c r="H229" t="s">
        <v>426</v>
      </c>
    </row>
    <row r="230" spans="1:9" x14ac:dyDescent="0.25">
      <c r="A230" t="s">
        <v>12</v>
      </c>
      <c r="B230" t="str">
        <f>"36036000      "</f>
        <v xml:space="preserve">36036000      </v>
      </c>
      <c r="C230" t="s">
        <v>443</v>
      </c>
      <c r="D230" t="s">
        <v>444</v>
      </c>
      <c r="E230" s="3">
        <v>44562</v>
      </c>
      <c r="G230" t="s">
        <v>425</v>
      </c>
      <c r="H230" t="s">
        <v>426</v>
      </c>
    </row>
    <row r="231" spans="1:9" x14ac:dyDescent="0.25">
      <c r="A231" t="s">
        <v>2</v>
      </c>
      <c r="B231" t="str">
        <f>"38160000      "</f>
        <v xml:space="preserve">38160000      </v>
      </c>
      <c r="C231" t="s">
        <v>445</v>
      </c>
      <c r="E231" s="3">
        <v>41122</v>
      </c>
      <c r="F231" s="3">
        <v>44562</v>
      </c>
      <c r="G231" t="s">
        <v>446</v>
      </c>
      <c r="I231" t="s">
        <v>447</v>
      </c>
    </row>
    <row r="232" spans="1:9" x14ac:dyDescent="0.25">
      <c r="A232" t="s">
        <v>12</v>
      </c>
      <c r="B232" t="str">
        <f>"38160010      "</f>
        <v xml:space="preserve">38160010      </v>
      </c>
      <c r="C232" t="s">
        <v>448</v>
      </c>
      <c r="D232" t="s">
        <v>179</v>
      </c>
      <c r="E232" s="3">
        <v>44562</v>
      </c>
      <c r="G232" t="s">
        <v>446</v>
      </c>
      <c r="I232" t="s">
        <v>447</v>
      </c>
    </row>
    <row r="233" spans="1:9" x14ac:dyDescent="0.25">
      <c r="A233" t="s">
        <v>12</v>
      </c>
      <c r="B233" t="str">
        <f>"38160090      "</f>
        <v xml:space="preserve">38160090      </v>
      </c>
      <c r="C233" t="s">
        <v>449</v>
      </c>
      <c r="D233" t="s">
        <v>16</v>
      </c>
      <c r="E233" s="3">
        <v>44562</v>
      </c>
      <c r="G233" t="s">
        <v>446</v>
      </c>
      <c r="I233" t="s">
        <v>447</v>
      </c>
    </row>
    <row r="234" spans="1:9" x14ac:dyDescent="0.25">
      <c r="A234" t="s">
        <v>2</v>
      </c>
      <c r="B234" t="str">
        <f>"38220000      "</f>
        <v xml:space="preserve">38220000      </v>
      </c>
      <c r="C234" t="s">
        <v>450</v>
      </c>
      <c r="E234" s="3">
        <v>41122</v>
      </c>
      <c r="F234" s="3">
        <v>44562</v>
      </c>
      <c r="G234" t="s">
        <v>446</v>
      </c>
      <c r="H234" t="s">
        <v>451</v>
      </c>
      <c r="I234" t="s">
        <v>452</v>
      </c>
    </row>
    <row r="235" spans="1:9" x14ac:dyDescent="0.25">
      <c r="A235" t="s">
        <v>12</v>
      </c>
      <c r="B235" t="str">
        <f>"38221100      "</f>
        <v xml:space="preserve">38221100      </v>
      </c>
      <c r="C235" t="s">
        <v>453</v>
      </c>
      <c r="D235" t="s">
        <v>454</v>
      </c>
      <c r="E235" s="3">
        <v>44562</v>
      </c>
      <c r="G235" t="s">
        <v>446</v>
      </c>
      <c r="H235" t="s">
        <v>451</v>
      </c>
    </row>
    <row r="236" spans="1:9" x14ac:dyDescent="0.25">
      <c r="A236" t="s">
        <v>12</v>
      </c>
      <c r="B236" t="str">
        <f>"38221200      "</f>
        <v xml:space="preserve">38221200      </v>
      </c>
      <c r="C236" t="s">
        <v>455</v>
      </c>
      <c r="D236" t="s">
        <v>456</v>
      </c>
      <c r="E236" s="3">
        <v>44562</v>
      </c>
      <c r="G236" t="s">
        <v>446</v>
      </c>
      <c r="H236" t="s">
        <v>451</v>
      </c>
    </row>
    <row r="237" spans="1:9" x14ac:dyDescent="0.25">
      <c r="A237" t="s">
        <v>12</v>
      </c>
      <c r="B237" t="str">
        <f>"38221300      "</f>
        <v xml:space="preserve">38221300      </v>
      </c>
      <c r="C237" t="s">
        <v>457</v>
      </c>
      <c r="D237" t="s">
        <v>458</v>
      </c>
      <c r="E237" s="3">
        <v>44562</v>
      </c>
      <c r="G237" t="s">
        <v>446</v>
      </c>
      <c r="H237" t="s">
        <v>451</v>
      </c>
    </row>
    <row r="238" spans="1:9" x14ac:dyDescent="0.25">
      <c r="A238" t="s">
        <v>12</v>
      </c>
      <c r="B238" t="str">
        <f>"38221900      "</f>
        <v xml:space="preserve">38221900      </v>
      </c>
      <c r="C238" t="s">
        <v>459</v>
      </c>
      <c r="D238" t="s">
        <v>460</v>
      </c>
      <c r="E238" s="3">
        <v>44562</v>
      </c>
      <c r="G238" t="s">
        <v>446</v>
      </c>
      <c r="H238" t="s">
        <v>451</v>
      </c>
    </row>
    <row r="239" spans="1:9" x14ac:dyDescent="0.25">
      <c r="A239" t="s">
        <v>12</v>
      </c>
      <c r="B239" t="str">
        <f>"38229000      "</f>
        <v xml:space="preserve">38229000      </v>
      </c>
      <c r="C239" t="s">
        <v>461</v>
      </c>
      <c r="D239" t="s">
        <v>16</v>
      </c>
      <c r="E239" s="3">
        <v>44562</v>
      </c>
      <c r="G239" t="s">
        <v>446</v>
      </c>
      <c r="H239" t="s">
        <v>451</v>
      </c>
    </row>
    <row r="240" spans="1:9" x14ac:dyDescent="0.25">
      <c r="A240" t="s">
        <v>2</v>
      </c>
      <c r="B240" t="str">
        <f>"38247100      "</f>
        <v xml:space="preserve">38247100      </v>
      </c>
      <c r="C240" t="s">
        <v>462</v>
      </c>
      <c r="E240" s="3">
        <v>41122</v>
      </c>
      <c r="F240" s="3">
        <v>44562</v>
      </c>
      <c r="G240" t="s">
        <v>446</v>
      </c>
      <c r="H240" t="s">
        <v>463</v>
      </c>
      <c r="I240" t="s">
        <v>464</v>
      </c>
    </row>
    <row r="241" spans="1:9" x14ac:dyDescent="0.25">
      <c r="A241" t="s">
        <v>2</v>
      </c>
      <c r="B241" t="str">
        <f>"38247200      "</f>
        <v xml:space="preserve">38247200      </v>
      </c>
      <c r="C241" t="s">
        <v>465</v>
      </c>
      <c r="E241" s="3">
        <v>41122</v>
      </c>
      <c r="F241" s="3">
        <v>44562</v>
      </c>
      <c r="G241" t="s">
        <v>446</v>
      </c>
      <c r="H241" t="s">
        <v>463</v>
      </c>
      <c r="I241" t="s">
        <v>466</v>
      </c>
    </row>
    <row r="242" spans="1:9" x14ac:dyDescent="0.25">
      <c r="A242" t="s">
        <v>2</v>
      </c>
      <c r="B242" t="str">
        <f>"38247300      "</f>
        <v xml:space="preserve">38247300      </v>
      </c>
      <c r="C242" t="s">
        <v>467</v>
      </c>
      <c r="E242" s="3">
        <v>41122</v>
      </c>
      <c r="F242" s="3">
        <v>44562</v>
      </c>
      <c r="G242" t="s">
        <v>446</v>
      </c>
      <c r="H242" t="s">
        <v>463</v>
      </c>
      <c r="I242" t="s">
        <v>468</v>
      </c>
    </row>
    <row r="243" spans="1:9" x14ac:dyDescent="0.25">
      <c r="A243" t="s">
        <v>2</v>
      </c>
      <c r="B243" t="str">
        <f>"38247400      "</f>
        <v xml:space="preserve">38247400      </v>
      </c>
      <c r="C243" t="s">
        <v>469</v>
      </c>
      <c r="E243" s="3">
        <v>41122</v>
      </c>
      <c r="F243" s="3">
        <v>44562</v>
      </c>
      <c r="G243" t="s">
        <v>446</v>
      </c>
      <c r="H243" t="s">
        <v>463</v>
      </c>
      <c r="I243" t="s">
        <v>470</v>
      </c>
    </row>
    <row r="244" spans="1:9" x14ac:dyDescent="0.25">
      <c r="A244" t="s">
        <v>2</v>
      </c>
      <c r="B244" t="str">
        <f>"38247500      "</f>
        <v xml:space="preserve">38247500      </v>
      </c>
      <c r="C244" t="s">
        <v>471</v>
      </c>
      <c r="E244" s="3">
        <v>41122</v>
      </c>
      <c r="F244" s="3">
        <v>44562</v>
      </c>
      <c r="G244" t="s">
        <v>446</v>
      </c>
      <c r="H244" t="s">
        <v>463</v>
      </c>
      <c r="I244" t="s">
        <v>472</v>
      </c>
    </row>
    <row r="245" spans="1:9" x14ac:dyDescent="0.25">
      <c r="A245" t="s">
        <v>2</v>
      </c>
      <c r="B245" t="str">
        <f>"38247600      "</f>
        <v xml:space="preserve">38247600      </v>
      </c>
      <c r="C245" t="s">
        <v>473</v>
      </c>
      <c r="E245" s="3">
        <v>41122</v>
      </c>
      <c r="F245" s="3">
        <v>44562</v>
      </c>
      <c r="G245" t="s">
        <v>446</v>
      </c>
      <c r="H245" t="s">
        <v>463</v>
      </c>
      <c r="I245" t="s">
        <v>474</v>
      </c>
    </row>
    <row r="246" spans="1:9" x14ac:dyDescent="0.25">
      <c r="A246" t="s">
        <v>2</v>
      </c>
      <c r="B246" t="str">
        <f>"38247700      "</f>
        <v xml:space="preserve">38247700      </v>
      </c>
      <c r="C246" t="s">
        <v>475</v>
      </c>
      <c r="E246" s="3">
        <v>41122</v>
      </c>
      <c r="F246" s="3">
        <v>44562</v>
      </c>
      <c r="G246" t="s">
        <v>446</v>
      </c>
      <c r="H246" t="s">
        <v>463</v>
      </c>
      <c r="I246" t="s">
        <v>476</v>
      </c>
    </row>
    <row r="247" spans="1:9" x14ac:dyDescent="0.25">
      <c r="A247" t="s">
        <v>2</v>
      </c>
      <c r="B247" t="str">
        <f>"38247810      "</f>
        <v xml:space="preserve">38247810      </v>
      </c>
      <c r="C247" t="s">
        <v>477</v>
      </c>
      <c r="E247" s="3">
        <v>42370</v>
      </c>
      <c r="F247" s="3">
        <v>44562</v>
      </c>
      <c r="G247" t="s">
        <v>446</v>
      </c>
      <c r="H247" t="s">
        <v>463</v>
      </c>
      <c r="I247" t="s">
        <v>478</v>
      </c>
    </row>
    <row r="248" spans="1:9" x14ac:dyDescent="0.25">
      <c r="A248" t="s">
        <v>2</v>
      </c>
      <c r="B248" t="str">
        <f>"38247820      "</f>
        <v xml:space="preserve">38247820      </v>
      </c>
      <c r="C248" t="s">
        <v>479</v>
      </c>
      <c r="E248" s="3">
        <v>42370</v>
      </c>
      <c r="F248" s="3">
        <v>44562</v>
      </c>
      <c r="G248" t="s">
        <v>446</v>
      </c>
      <c r="H248" t="s">
        <v>463</v>
      </c>
      <c r="I248" t="s">
        <v>478</v>
      </c>
    </row>
    <row r="249" spans="1:9" x14ac:dyDescent="0.25">
      <c r="A249" t="s">
        <v>2</v>
      </c>
      <c r="B249" t="str">
        <f>"38247830      "</f>
        <v xml:space="preserve">38247830      </v>
      </c>
      <c r="C249" t="s">
        <v>480</v>
      </c>
      <c r="E249" s="3">
        <v>42370</v>
      </c>
      <c r="F249" s="3">
        <v>44562</v>
      </c>
      <c r="G249" t="s">
        <v>446</v>
      </c>
      <c r="H249" t="s">
        <v>463</v>
      </c>
      <c r="I249" t="s">
        <v>478</v>
      </c>
    </row>
    <row r="250" spans="1:9" x14ac:dyDescent="0.25">
      <c r="A250" t="s">
        <v>2</v>
      </c>
      <c r="B250" t="str">
        <f>"38247840      "</f>
        <v xml:space="preserve">38247840      </v>
      </c>
      <c r="C250" t="s">
        <v>481</v>
      </c>
      <c r="E250" s="3">
        <v>42370</v>
      </c>
      <c r="F250" s="3">
        <v>44562</v>
      </c>
      <c r="G250" t="s">
        <v>446</v>
      </c>
      <c r="H250" t="s">
        <v>463</v>
      </c>
      <c r="I250" t="s">
        <v>478</v>
      </c>
    </row>
    <row r="251" spans="1:9" x14ac:dyDescent="0.25">
      <c r="A251" t="s">
        <v>2</v>
      </c>
      <c r="B251" t="str">
        <f>"38247880      "</f>
        <v xml:space="preserve">38247880      </v>
      </c>
      <c r="C251" t="s">
        <v>482</v>
      </c>
      <c r="E251" s="3">
        <v>42370</v>
      </c>
      <c r="F251" s="3">
        <v>44562</v>
      </c>
      <c r="G251" t="s">
        <v>446</v>
      </c>
      <c r="H251" t="s">
        <v>463</v>
      </c>
      <c r="I251" t="s">
        <v>478</v>
      </c>
    </row>
    <row r="252" spans="1:9" x14ac:dyDescent="0.25">
      <c r="A252" t="s">
        <v>2</v>
      </c>
      <c r="B252" t="str">
        <f>"38247890      "</f>
        <v xml:space="preserve">38247890      </v>
      </c>
      <c r="C252" t="s">
        <v>483</v>
      </c>
      <c r="E252" s="3">
        <v>42370</v>
      </c>
      <c r="F252" s="3">
        <v>44562</v>
      </c>
      <c r="G252" t="s">
        <v>446</v>
      </c>
      <c r="H252" t="s">
        <v>463</v>
      </c>
      <c r="I252" t="s">
        <v>478</v>
      </c>
    </row>
    <row r="253" spans="1:9" x14ac:dyDescent="0.25">
      <c r="A253" t="s">
        <v>2</v>
      </c>
      <c r="B253" t="str">
        <f>"38247900      "</f>
        <v xml:space="preserve">38247900      </v>
      </c>
      <c r="C253" t="s">
        <v>484</v>
      </c>
      <c r="E253" s="3">
        <v>41122</v>
      </c>
      <c r="F253" s="3">
        <v>44562</v>
      </c>
      <c r="G253" t="s">
        <v>446</v>
      </c>
      <c r="H253" t="s">
        <v>463</v>
      </c>
      <c r="I253" t="s">
        <v>485</v>
      </c>
    </row>
    <row r="254" spans="1:9" x14ac:dyDescent="0.25">
      <c r="A254" t="s">
        <v>12</v>
      </c>
      <c r="B254" t="str">
        <f>"38248900      "</f>
        <v xml:space="preserve">38248900      </v>
      </c>
      <c r="C254" t="s">
        <v>486</v>
      </c>
      <c r="D254" t="s">
        <v>487</v>
      </c>
      <c r="E254" s="3">
        <v>44562</v>
      </c>
      <c r="G254" t="s">
        <v>446</v>
      </c>
      <c r="H254" t="s">
        <v>463</v>
      </c>
      <c r="I254" t="s">
        <v>488</v>
      </c>
    </row>
    <row r="255" spans="1:9" x14ac:dyDescent="0.25">
      <c r="A255" t="s">
        <v>12</v>
      </c>
      <c r="B255" t="str">
        <f>"38249200      "</f>
        <v xml:space="preserve">38249200      </v>
      </c>
      <c r="C255" t="s">
        <v>489</v>
      </c>
      <c r="D255" t="s">
        <v>490</v>
      </c>
      <c r="E255" s="3">
        <v>44562</v>
      </c>
      <c r="G255" t="s">
        <v>446</v>
      </c>
      <c r="H255" t="s">
        <v>463</v>
      </c>
    </row>
    <row r="256" spans="1:9" x14ac:dyDescent="0.25">
      <c r="A256" t="s">
        <v>2</v>
      </c>
      <c r="B256" t="str">
        <f>"38249956      "</f>
        <v xml:space="preserve">38249956      </v>
      </c>
      <c r="C256" t="s">
        <v>491</v>
      </c>
      <c r="E256" s="3">
        <v>43466</v>
      </c>
      <c r="F256" s="3">
        <v>44562</v>
      </c>
      <c r="G256" t="s">
        <v>446</v>
      </c>
      <c r="H256" t="s">
        <v>463</v>
      </c>
    </row>
    <row r="257" spans="1:8" x14ac:dyDescent="0.25">
      <c r="A257" t="s">
        <v>2</v>
      </c>
      <c r="B257" t="str">
        <f>"38249957      "</f>
        <v xml:space="preserve">38249957      </v>
      </c>
      <c r="C257" t="s">
        <v>492</v>
      </c>
      <c r="E257" s="3">
        <v>43466</v>
      </c>
      <c r="F257" s="3">
        <v>44562</v>
      </c>
      <c r="G257" t="s">
        <v>446</v>
      </c>
      <c r="H257" t="s">
        <v>463</v>
      </c>
    </row>
    <row r="258" spans="1:8" x14ac:dyDescent="0.25">
      <c r="A258" t="s">
        <v>2</v>
      </c>
      <c r="B258" t="str">
        <f>"38249958      "</f>
        <v xml:space="preserve">38249958      </v>
      </c>
      <c r="C258" t="s">
        <v>493</v>
      </c>
      <c r="E258" s="3">
        <v>42736</v>
      </c>
      <c r="F258" s="3">
        <v>44562</v>
      </c>
      <c r="G258" t="s">
        <v>446</v>
      </c>
      <c r="H258" t="s">
        <v>463</v>
      </c>
    </row>
    <row r="259" spans="1:8" x14ac:dyDescent="0.25">
      <c r="A259" t="s">
        <v>12</v>
      </c>
      <c r="B259" t="str">
        <f>"38271100      "</f>
        <v xml:space="preserve">38271100      </v>
      </c>
      <c r="C259" t="s">
        <v>494</v>
      </c>
      <c r="D259" t="s">
        <v>495</v>
      </c>
      <c r="E259" s="3">
        <v>44562</v>
      </c>
      <c r="G259" t="s">
        <v>446</v>
      </c>
      <c r="H259" t="s">
        <v>496</v>
      </c>
    </row>
    <row r="260" spans="1:8" x14ac:dyDescent="0.25">
      <c r="A260" t="s">
        <v>12</v>
      </c>
      <c r="B260" t="str">
        <f>"38271200      "</f>
        <v xml:space="preserve">38271200      </v>
      </c>
      <c r="C260" t="s">
        <v>497</v>
      </c>
      <c r="D260" t="s">
        <v>498</v>
      </c>
      <c r="E260" s="3">
        <v>44562</v>
      </c>
      <c r="G260" t="s">
        <v>446</v>
      </c>
      <c r="H260" t="s">
        <v>496</v>
      </c>
    </row>
    <row r="261" spans="1:8" x14ac:dyDescent="0.25">
      <c r="A261" t="s">
        <v>12</v>
      </c>
      <c r="B261" t="str">
        <f>"38271300      "</f>
        <v xml:space="preserve">38271300      </v>
      </c>
      <c r="C261" t="s">
        <v>499</v>
      </c>
      <c r="D261" t="s">
        <v>500</v>
      </c>
      <c r="E261" s="3">
        <v>44562</v>
      </c>
      <c r="G261" t="s">
        <v>446</v>
      </c>
      <c r="H261" t="s">
        <v>496</v>
      </c>
    </row>
    <row r="262" spans="1:8" x14ac:dyDescent="0.25">
      <c r="A262" t="s">
        <v>12</v>
      </c>
      <c r="B262" t="str">
        <f>"38271400      "</f>
        <v xml:space="preserve">38271400      </v>
      </c>
      <c r="C262" t="s">
        <v>501</v>
      </c>
      <c r="D262" t="s">
        <v>502</v>
      </c>
      <c r="E262" s="3">
        <v>44562</v>
      </c>
      <c r="G262" t="s">
        <v>446</v>
      </c>
      <c r="H262" t="s">
        <v>496</v>
      </c>
    </row>
    <row r="263" spans="1:8" x14ac:dyDescent="0.25">
      <c r="A263" t="s">
        <v>12</v>
      </c>
      <c r="B263" t="str">
        <f>"38272000      "</f>
        <v xml:space="preserve">38272000      </v>
      </c>
      <c r="C263" t="s">
        <v>503</v>
      </c>
      <c r="D263" t="s">
        <v>504</v>
      </c>
      <c r="E263" s="3">
        <v>44562</v>
      </c>
      <c r="G263" t="s">
        <v>446</v>
      </c>
      <c r="H263" t="s">
        <v>496</v>
      </c>
    </row>
    <row r="264" spans="1:8" x14ac:dyDescent="0.25">
      <c r="A264" t="s">
        <v>12</v>
      </c>
      <c r="B264" t="str">
        <f>"38273100      "</f>
        <v xml:space="preserve">38273100      </v>
      </c>
      <c r="C264" t="s">
        <v>505</v>
      </c>
      <c r="D264" t="s">
        <v>506</v>
      </c>
      <c r="E264" s="3">
        <v>44562</v>
      </c>
      <c r="G264" t="s">
        <v>446</v>
      </c>
      <c r="H264" t="s">
        <v>496</v>
      </c>
    </row>
    <row r="265" spans="1:8" x14ac:dyDescent="0.25">
      <c r="A265" t="s">
        <v>12</v>
      </c>
      <c r="B265" t="str">
        <f>"38273200      "</f>
        <v xml:space="preserve">38273200      </v>
      </c>
      <c r="C265" t="s">
        <v>507</v>
      </c>
      <c r="D265" t="s">
        <v>508</v>
      </c>
      <c r="E265" s="3">
        <v>44562</v>
      </c>
      <c r="G265" t="s">
        <v>446</v>
      </c>
      <c r="H265" t="s">
        <v>496</v>
      </c>
    </row>
    <row r="266" spans="1:8" x14ac:dyDescent="0.25">
      <c r="A266" t="s">
        <v>12</v>
      </c>
      <c r="B266" t="str">
        <f>"38273900      "</f>
        <v xml:space="preserve">38273900      </v>
      </c>
      <c r="C266" t="s">
        <v>509</v>
      </c>
      <c r="D266" t="s">
        <v>510</v>
      </c>
      <c r="E266" s="3">
        <v>44562</v>
      </c>
      <c r="G266" t="s">
        <v>446</v>
      </c>
      <c r="H266" t="s">
        <v>496</v>
      </c>
    </row>
    <row r="267" spans="1:8" x14ac:dyDescent="0.25">
      <c r="A267" t="s">
        <v>12</v>
      </c>
      <c r="B267" t="str">
        <f>"38274000      "</f>
        <v xml:space="preserve">38274000      </v>
      </c>
      <c r="C267" t="s">
        <v>511</v>
      </c>
      <c r="D267" t="s">
        <v>512</v>
      </c>
      <c r="E267" s="3">
        <v>44562</v>
      </c>
      <c r="G267" t="s">
        <v>446</v>
      </c>
      <c r="H267" t="s">
        <v>496</v>
      </c>
    </row>
    <row r="268" spans="1:8" x14ac:dyDescent="0.25">
      <c r="A268" t="s">
        <v>12</v>
      </c>
      <c r="B268" t="str">
        <f>"38275100      "</f>
        <v xml:space="preserve">38275100      </v>
      </c>
      <c r="C268" t="s">
        <v>513</v>
      </c>
      <c r="D268" t="s">
        <v>514</v>
      </c>
      <c r="E268" s="3">
        <v>44562</v>
      </c>
      <c r="G268" t="s">
        <v>446</v>
      </c>
      <c r="H268" t="s">
        <v>496</v>
      </c>
    </row>
    <row r="269" spans="1:8" x14ac:dyDescent="0.25">
      <c r="A269" t="s">
        <v>12</v>
      </c>
      <c r="B269" t="str">
        <f>"38275900      "</f>
        <v xml:space="preserve">38275900      </v>
      </c>
      <c r="C269" t="s">
        <v>515</v>
      </c>
      <c r="D269" t="s">
        <v>516</v>
      </c>
      <c r="E269" s="3">
        <v>44562</v>
      </c>
      <c r="G269" t="s">
        <v>446</v>
      </c>
      <c r="H269" t="s">
        <v>496</v>
      </c>
    </row>
    <row r="270" spans="1:8" x14ac:dyDescent="0.25">
      <c r="A270" t="s">
        <v>12</v>
      </c>
      <c r="B270" t="str">
        <f>"38276100      "</f>
        <v xml:space="preserve">38276100      </v>
      </c>
      <c r="C270" t="s">
        <v>517</v>
      </c>
      <c r="D270" t="s">
        <v>518</v>
      </c>
      <c r="E270" s="3">
        <v>44562</v>
      </c>
      <c r="G270" t="s">
        <v>446</v>
      </c>
      <c r="H270" t="s">
        <v>496</v>
      </c>
    </row>
    <row r="271" spans="1:8" x14ac:dyDescent="0.25">
      <c r="A271" t="s">
        <v>12</v>
      </c>
      <c r="B271" t="str">
        <f>"38276200      "</f>
        <v xml:space="preserve">38276200      </v>
      </c>
      <c r="C271" t="s">
        <v>519</v>
      </c>
      <c r="D271" t="s">
        <v>520</v>
      </c>
      <c r="E271" s="3">
        <v>44562</v>
      </c>
      <c r="G271" t="s">
        <v>446</v>
      </c>
      <c r="H271" t="s">
        <v>496</v>
      </c>
    </row>
    <row r="272" spans="1:8" x14ac:dyDescent="0.25">
      <c r="A272" t="s">
        <v>12</v>
      </c>
      <c r="B272" t="str">
        <f>"38276300      "</f>
        <v xml:space="preserve">38276300      </v>
      </c>
      <c r="C272" t="s">
        <v>521</v>
      </c>
      <c r="D272" t="s">
        <v>522</v>
      </c>
      <c r="E272" s="3">
        <v>44562</v>
      </c>
      <c r="G272" t="s">
        <v>446</v>
      </c>
      <c r="H272" t="s">
        <v>496</v>
      </c>
    </row>
    <row r="273" spans="1:9" x14ac:dyDescent="0.25">
      <c r="A273" t="s">
        <v>12</v>
      </c>
      <c r="B273" t="str">
        <f>"38276400      "</f>
        <v xml:space="preserve">38276400      </v>
      </c>
      <c r="C273" t="s">
        <v>523</v>
      </c>
      <c r="D273" t="s">
        <v>524</v>
      </c>
      <c r="E273" s="3">
        <v>44562</v>
      </c>
      <c r="G273" t="s">
        <v>446</v>
      </c>
      <c r="H273" t="s">
        <v>496</v>
      </c>
    </row>
    <row r="274" spans="1:9" x14ac:dyDescent="0.25">
      <c r="A274" t="s">
        <v>12</v>
      </c>
      <c r="B274" t="str">
        <f>"38276500      "</f>
        <v xml:space="preserve">38276500      </v>
      </c>
      <c r="C274" t="s">
        <v>525</v>
      </c>
      <c r="D274" t="s">
        <v>526</v>
      </c>
      <c r="E274" s="3">
        <v>44562</v>
      </c>
      <c r="G274" t="s">
        <v>446</v>
      </c>
      <c r="H274" t="s">
        <v>496</v>
      </c>
    </row>
    <row r="275" spans="1:9" x14ac:dyDescent="0.25">
      <c r="A275" t="s">
        <v>12</v>
      </c>
      <c r="B275" t="str">
        <f>"38276800      "</f>
        <v xml:space="preserve">38276800      </v>
      </c>
      <c r="C275" t="s">
        <v>527</v>
      </c>
      <c r="D275" t="s">
        <v>528</v>
      </c>
      <c r="E275" s="3">
        <v>44562</v>
      </c>
      <c r="G275" t="s">
        <v>446</v>
      </c>
      <c r="H275" t="s">
        <v>496</v>
      </c>
    </row>
    <row r="276" spans="1:9" x14ac:dyDescent="0.25">
      <c r="A276" t="s">
        <v>12</v>
      </c>
      <c r="B276" t="str">
        <f>"38276900      "</f>
        <v xml:space="preserve">38276900      </v>
      </c>
      <c r="C276" t="s">
        <v>529</v>
      </c>
      <c r="D276" t="s">
        <v>530</v>
      </c>
      <c r="E276" s="3">
        <v>44562</v>
      </c>
      <c r="G276" t="s">
        <v>446</v>
      </c>
      <c r="H276" t="s">
        <v>496</v>
      </c>
    </row>
    <row r="277" spans="1:9" x14ac:dyDescent="0.25">
      <c r="A277" t="s">
        <v>12</v>
      </c>
      <c r="B277" t="str">
        <f>"38279000      "</f>
        <v xml:space="preserve">38279000      </v>
      </c>
      <c r="C277" t="s">
        <v>531</v>
      </c>
      <c r="D277" t="s">
        <v>16</v>
      </c>
      <c r="E277" s="3">
        <v>44562</v>
      </c>
      <c r="G277" t="s">
        <v>446</v>
      </c>
      <c r="H277" t="s">
        <v>496</v>
      </c>
    </row>
    <row r="278" spans="1:9" x14ac:dyDescent="0.25">
      <c r="A278" t="s">
        <v>2</v>
      </c>
      <c r="B278" t="str">
        <f>"39072011      "</f>
        <v xml:space="preserve">39072011      </v>
      </c>
      <c r="C278" t="s">
        <v>532</v>
      </c>
      <c r="E278" s="3">
        <v>41122</v>
      </c>
      <c r="F278" s="3">
        <v>44562</v>
      </c>
      <c r="G278" t="s">
        <v>533</v>
      </c>
      <c r="H278" t="s">
        <v>534</v>
      </c>
      <c r="I278" t="s">
        <v>535</v>
      </c>
    </row>
    <row r="279" spans="1:9" x14ac:dyDescent="0.25">
      <c r="A279" t="s">
        <v>2</v>
      </c>
      <c r="B279" t="str">
        <f>"39072020      "</f>
        <v xml:space="preserve">39072020      </v>
      </c>
      <c r="C279" t="s">
        <v>536</v>
      </c>
      <c r="E279" s="3">
        <v>41122</v>
      </c>
      <c r="F279" s="3">
        <v>44562</v>
      </c>
      <c r="G279" t="s">
        <v>533</v>
      </c>
      <c r="H279" t="s">
        <v>534</v>
      </c>
      <c r="I279" t="s">
        <v>535</v>
      </c>
    </row>
    <row r="280" spans="1:9" x14ac:dyDescent="0.25">
      <c r="A280" t="s">
        <v>2</v>
      </c>
      <c r="B280" t="str">
        <f>"39072091      "</f>
        <v xml:space="preserve">39072091      </v>
      </c>
      <c r="C280" t="s">
        <v>537</v>
      </c>
      <c r="E280" s="3">
        <v>41122</v>
      </c>
      <c r="F280" s="3">
        <v>44562</v>
      </c>
      <c r="G280" t="s">
        <v>533</v>
      </c>
      <c r="H280" t="s">
        <v>534</v>
      </c>
      <c r="I280" t="s">
        <v>535</v>
      </c>
    </row>
    <row r="281" spans="1:9" x14ac:dyDescent="0.25">
      <c r="A281" t="s">
        <v>2</v>
      </c>
      <c r="B281" t="str">
        <f>"39072099      "</f>
        <v xml:space="preserve">39072099      </v>
      </c>
      <c r="C281" t="s">
        <v>538</v>
      </c>
      <c r="E281" s="3">
        <v>41122</v>
      </c>
      <c r="F281" s="3">
        <v>44562</v>
      </c>
      <c r="G281" t="s">
        <v>533</v>
      </c>
      <c r="H281" t="s">
        <v>534</v>
      </c>
      <c r="I281" t="s">
        <v>535</v>
      </c>
    </row>
    <row r="282" spans="1:9" x14ac:dyDescent="0.25">
      <c r="A282" t="s">
        <v>12</v>
      </c>
      <c r="B282" t="str">
        <f>"39072100      "</f>
        <v xml:space="preserve">39072100      </v>
      </c>
      <c r="C282" t="s">
        <v>539</v>
      </c>
      <c r="D282" t="s">
        <v>540</v>
      </c>
      <c r="E282" s="3">
        <v>44562</v>
      </c>
      <c r="G282" t="s">
        <v>533</v>
      </c>
      <c r="H282" t="s">
        <v>534</v>
      </c>
    </row>
    <row r="283" spans="1:9" x14ac:dyDescent="0.25">
      <c r="A283" t="s">
        <v>12</v>
      </c>
      <c r="B283" t="str">
        <f>"39072911      "</f>
        <v xml:space="preserve">39072911      </v>
      </c>
      <c r="C283" t="s">
        <v>541</v>
      </c>
      <c r="D283" t="s">
        <v>542</v>
      </c>
      <c r="E283" s="3">
        <v>44562</v>
      </c>
      <c r="G283" t="s">
        <v>533</v>
      </c>
      <c r="H283" t="s">
        <v>534</v>
      </c>
    </row>
    <row r="284" spans="1:9" x14ac:dyDescent="0.25">
      <c r="A284" t="s">
        <v>12</v>
      </c>
      <c r="B284" t="str">
        <f>"39072920      "</f>
        <v xml:space="preserve">39072920      </v>
      </c>
      <c r="C284" t="s">
        <v>543</v>
      </c>
      <c r="D284" t="s">
        <v>544</v>
      </c>
      <c r="E284" s="3">
        <v>44562</v>
      </c>
      <c r="G284" t="s">
        <v>533</v>
      </c>
      <c r="H284" t="s">
        <v>534</v>
      </c>
    </row>
    <row r="285" spans="1:9" x14ac:dyDescent="0.25">
      <c r="A285" t="s">
        <v>12</v>
      </c>
      <c r="B285" t="str">
        <f>"39072991      "</f>
        <v xml:space="preserve">39072991      </v>
      </c>
      <c r="C285" t="s">
        <v>545</v>
      </c>
      <c r="D285" t="s">
        <v>546</v>
      </c>
      <c r="E285" s="3">
        <v>44562</v>
      </c>
      <c r="G285" t="s">
        <v>533</v>
      </c>
      <c r="H285" t="s">
        <v>534</v>
      </c>
    </row>
    <row r="286" spans="1:9" x14ac:dyDescent="0.25">
      <c r="A286" t="s">
        <v>12</v>
      </c>
      <c r="B286" t="str">
        <f>"39072999      "</f>
        <v xml:space="preserve">39072999      </v>
      </c>
      <c r="C286" t="s">
        <v>547</v>
      </c>
      <c r="D286" t="s">
        <v>78</v>
      </c>
      <c r="E286" s="3">
        <v>44562</v>
      </c>
      <c r="G286" t="s">
        <v>533</v>
      </c>
      <c r="H286" t="s">
        <v>534</v>
      </c>
    </row>
    <row r="287" spans="1:9" x14ac:dyDescent="0.25">
      <c r="A287" t="s">
        <v>12</v>
      </c>
      <c r="B287" t="str">
        <f>"39112000      "</f>
        <v xml:space="preserve">39112000      </v>
      </c>
      <c r="C287" t="s">
        <v>548</v>
      </c>
      <c r="D287" t="s">
        <v>549</v>
      </c>
      <c r="E287" s="3">
        <v>44562</v>
      </c>
      <c r="G287" t="s">
        <v>533</v>
      </c>
      <c r="H287" t="s">
        <v>550</v>
      </c>
    </row>
    <row r="288" spans="1:9" x14ac:dyDescent="0.25">
      <c r="A288" t="s">
        <v>2</v>
      </c>
      <c r="B288" t="str">
        <f>"40151100      "</f>
        <v xml:space="preserve">40151100      </v>
      </c>
      <c r="C288" t="s">
        <v>551</v>
      </c>
      <c r="E288" s="3">
        <v>41122</v>
      </c>
      <c r="F288" s="3">
        <v>44562</v>
      </c>
      <c r="G288" t="s">
        <v>552</v>
      </c>
      <c r="H288" t="s">
        <v>553</v>
      </c>
      <c r="I288" t="s">
        <v>554</v>
      </c>
    </row>
    <row r="289" spans="1:9" x14ac:dyDescent="0.25">
      <c r="A289" t="s">
        <v>12</v>
      </c>
      <c r="B289" t="str">
        <f>"40151200      "</f>
        <v xml:space="preserve">40151200      </v>
      </c>
      <c r="C289" t="s">
        <v>555</v>
      </c>
      <c r="D289" t="s">
        <v>556</v>
      </c>
      <c r="E289" s="3">
        <v>44562</v>
      </c>
      <c r="G289" t="s">
        <v>552</v>
      </c>
      <c r="H289" t="s">
        <v>553</v>
      </c>
      <c r="I289" t="s">
        <v>557</v>
      </c>
    </row>
    <row r="290" spans="1:9" x14ac:dyDescent="0.25">
      <c r="A290" t="s">
        <v>12</v>
      </c>
      <c r="B290" t="str">
        <f>"44013200      "</f>
        <v xml:space="preserve">44013200      </v>
      </c>
      <c r="C290" t="s">
        <v>558</v>
      </c>
      <c r="D290" t="s">
        <v>559</v>
      </c>
      <c r="E290" s="3">
        <v>44562</v>
      </c>
      <c r="G290" t="s">
        <v>560</v>
      </c>
      <c r="H290" t="s">
        <v>561</v>
      </c>
    </row>
    <row r="291" spans="1:9" x14ac:dyDescent="0.25">
      <c r="A291" t="s">
        <v>2</v>
      </c>
      <c r="B291" t="str">
        <f>"44014010      "</f>
        <v xml:space="preserve">44014010      </v>
      </c>
      <c r="C291" t="s">
        <v>562</v>
      </c>
      <c r="E291" s="3">
        <v>42736</v>
      </c>
      <c r="F291" s="3">
        <v>44562</v>
      </c>
      <c r="G291" t="s">
        <v>560</v>
      </c>
      <c r="H291" t="s">
        <v>561</v>
      </c>
    </row>
    <row r="292" spans="1:9" x14ac:dyDescent="0.25">
      <c r="A292" t="s">
        <v>2</v>
      </c>
      <c r="B292" t="str">
        <f>"44014090      "</f>
        <v xml:space="preserve">44014090      </v>
      </c>
      <c r="C292" t="s">
        <v>563</v>
      </c>
      <c r="E292" s="3">
        <v>42736</v>
      </c>
      <c r="F292" s="3">
        <v>44562</v>
      </c>
      <c r="G292" t="s">
        <v>560</v>
      </c>
      <c r="H292" t="s">
        <v>561</v>
      </c>
    </row>
    <row r="293" spans="1:9" x14ac:dyDescent="0.25">
      <c r="A293" t="s">
        <v>12</v>
      </c>
      <c r="B293" t="str">
        <f>"44014100      "</f>
        <v xml:space="preserve">44014100      </v>
      </c>
      <c r="C293" t="s">
        <v>562</v>
      </c>
      <c r="D293" t="s">
        <v>564</v>
      </c>
      <c r="E293" s="3">
        <v>44562</v>
      </c>
      <c r="G293" t="s">
        <v>560</v>
      </c>
      <c r="H293" t="s">
        <v>561</v>
      </c>
    </row>
    <row r="294" spans="1:9" x14ac:dyDescent="0.25">
      <c r="A294" t="s">
        <v>12</v>
      </c>
      <c r="B294" t="str">
        <f>"44014900      "</f>
        <v xml:space="preserve">44014900      </v>
      </c>
      <c r="C294" t="s">
        <v>563</v>
      </c>
      <c r="D294" t="s">
        <v>565</v>
      </c>
      <c r="E294" s="3">
        <v>44562</v>
      </c>
      <c r="G294" t="s">
        <v>560</v>
      </c>
      <c r="H294" t="s">
        <v>561</v>
      </c>
    </row>
    <row r="295" spans="1:9" x14ac:dyDescent="0.25">
      <c r="A295" t="s">
        <v>12</v>
      </c>
      <c r="B295" t="str">
        <f>"44022000      "</f>
        <v xml:space="preserve">44022000      </v>
      </c>
      <c r="C295" t="s">
        <v>566</v>
      </c>
      <c r="D295" t="s">
        <v>567</v>
      </c>
      <c r="E295" s="3">
        <v>44562</v>
      </c>
      <c r="G295" t="s">
        <v>560</v>
      </c>
      <c r="H295" t="s">
        <v>568</v>
      </c>
    </row>
    <row r="296" spans="1:9" x14ac:dyDescent="0.25">
      <c r="A296" t="s">
        <v>12</v>
      </c>
      <c r="B296" t="str">
        <f>"44034200      "</f>
        <v xml:space="preserve">44034200      </v>
      </c>
      <c r="C296" t="s">
        <v>569</v>
      </c>
      <c r="D296" t="s">
        <v>570</v>
      </c>
      <c r="E296" s="3">
        <v>44562</v>
      </c>
      <c r="G296" t="s">
        <v>560</v>
      </c>
      <c r="H296" t="s">
        <v>571</v>
      </c>
      <c r="I296" t="s">
        <v>572</v>
      </c>
    </row>
    <row r="297" spans="1:9" x14ac:dyDescent="0.25">
      <c r="A297" t="s">
        <v>12</v>
      </c>
      <c r="B297" t="str">
        <f>"44071300      "</f>
        <v xml:space="preserve">44071300      </v>
      </c>
      <c r="C297" t="s">
        <v>573</v>
      </c>
      <c r="D297" t="s">
        <v>574</v>
      </c>
      <c r="E297" s="3">
        <v>44562</v>
      </c>
      <c r="G297" t="s">
        <v>560</v>
      </c>
      <c r="H297" t="s">
        <v>575</v>
      </c>
    </row>
    <row r="298" spans="1:9" x14ac:dyDescent="0.25">
      <c r="A298" t="s">
        <v>12</v>
      </c>
      <c r="B298" t="str">
        <f>"44071400      "</f>
        <v xml:space="preserve">44071400      </v>
      </c>
      <c r="C298" t="s">
        <v>576</v>
      </c>
      <c r="D298" t="s">
        <v>577</v>
      </c>
      <c r="E298" s="3">
        <v>44562</v>
      </c>
      <c r="G298" t="s">
        <v>560</v>
      </c>
      <c r="H298" t="s">
        <v>575</v>
      </c>
    </row>
    <row r="299" spans="1:9" x14ac:dyDescent="0.25">
      <c r="A299" t="s">
        <v>12</v>
      </c>
      <c r="B299" t="str">
        <f>"44072310      "</f>
        <v xml:space="preserve">44072310      </v>
      </c>
      <c r="C299" t="s">
        <v>578</v>
      </c>
      <c r="D299" t="s">
        <v>579</v>
      </c>
      <c r="E299" s="3">
        <v>44562</v>
      </c>
      <c r="G299" t="s">
        <v>560</v>
      </c>
      <c r="H299" t="s">
        <v>575</v>
      </c>
      <c r="I299" t="s">
        <v>580</v>
      </c>
    </row>
    <row r="300" spans="1:9" x14ac:dyDescent="0.25">
      <c r="A300" t="s">
        <v>12</v>
      </c>
      <c r="B300" t="str">
        <f>"44072320      "</f>
        <v xml:space="preserve">44072320      </v>
      </c>
      <c r="C300" t="s">
        <v>581</v>
      </c>
      <c r="D300" t="s">
        <v>582</v>
      </c>
      <c r="E300" s="3">
        <v>44562</v>
      </c>
      <c r="G300" t="s">
        <v>560</v>
      </c>
      <c r="H300" t="s">
        <v>575</v>
      </c>
      <c r="I300" t="s">
        <v>580</v>
      </c>
    </row>
    <row r="301" spans="1:9" x14ac:dyDescent="0.25">
      <c r="A301" t="s">
        <v>12</v>
      </c>
      <c r="B301" t="str">
        <f>"44072390      "</f>
        <v xml:space="preserve">44072390      </v>
      </c>
      <c r="C301" t="s">
        <v>583</v>
      </c>
      <c r="D301" t="s">
        <v>16</v>
      </c>
      <c r="E301" s="3">
        <v>44562</v>
      </c>
      <c r="G301" t="s">
        <v>560</v>
      </c>
      <c r="H301" t="s">
        <v>575</v>
      </c>
      <c r="I301" t="s">
        <v>580</v>
      </c>
    </row>
    <row r="302" spans="1:9" x14ac:dyDescent="0.25">
      <c r="A302" t="s">
        <v>2</v>
      </c>
      <c r="B302" t="str">
        <f>"44111290      "</f>
        <v xml:space="preserve">44111290      </v>
      </c>
      <c r="C302" t="s">
        <v>584</v>
      </c>
      <c r="E302" s="3">
        <v>41122</v>
      </c>
      <c r="F302" s="3">
        <v>44562</v>
      </c>
      <c r="G302" t="s">
        <v>560</v>
      </c>
      <c r="H302" t="s">
        <v>585</v>
      </c>
      <c r="I302" t="s">
        <v>586</v>
      </c>
    </row>
    <row r="303" spans="1:9" x14ac:dyDescent="0.25">
      <c r="A303" t="s">
        <v>12</v>
      </c>
      <c r="B303" t="str">
        <f>"44111292      "</f>
        <v xml:space="preserve">44111292      </v>
      </c>
      <c r="C303" t="s">
        <v>587</v>
      </c>
      <c r="D303" t="s">
        <v>588</v>
      </c>
      <c r="E303" s="3">
        <v>44562</v>
      </c>
      <c r="G303" t="s">
        <v>560</v>
      </c>
      <c r="H303" t="s">
        <v>585</v>
      </c>
      <c r="I303" t="s">
        <v>586</v>
      </c>
    </row>
    <row r="304" spans="1:9" x14ac:dyDescent="0.25">
      <c r="A304" t="s">
        <v>12</v>
      </c>
      <c r="B304" t="str">
        <f>"44111294      "</f>
        <v xml:space="preserve">44111294      </v>
      </c>
      <c r="C304" t="s">
        <v>589</v>
      </c>
      <c r="D304" t="s">
        <v>590</v>
      </c>
      <c r="E304" s="3">
        <v>44562</v>
      </c>
      <c r="G304" t="s">
        <v>560</v>
      </c>
      <c r="H304" t="s">
        <v>585</v>
      </c>
      <c r="I304" t="s">
        <v>586</v>
      </c>
    </row>
    <row r="305" spans="1:9" x14ac:dyDescent="0.25">
      <c r="A305" t="s">
        <v>2</v>
      </c>
      <c r="B305" t="str">
        <f>"44111390      "</f>
        <v xml:space="preserve">44111390      </v>
      </c>
      <c r="C305" t="s">
        <v>591</v>
      </c>
      <c r="E305" s="3">
        <v>41122</v>
      </c>
      <c r="F305" s="3">
        <v>44562</v>
      </c>
      <c r="G305" t="s">
        <v>560</v>
      </c>
      <c r="H305" t="s">
        <v>585</v>
      </c>
      <c r="I305" t="s">
        <v>592</v>
      </c>
    </row>
    <row r="306" spans="1:9" x14ac:dyDescent="0.25">
      <c r="A306" t="s">
        <v>12</v>
      </c>
      <c r="B306" t="str">
        <f>"44111392      "</f>
        <v xml:space="preserve">44111392      </v>
      </c>
      <c r="C306" t="s">
        <v>593</v>
      </c>
      <c r="D306" t="s">
        <v>588</v>
      </c>
      <c r="E306" s="3">
        <v>44562</v>
      </c>
      <c r="G306" t="s">
        <v>560</v>
      </c>
      <c r="H306" t="s">
        <v>585</v>
      </c>
      <c r="I306" t="s">
        <v>592</v>
      </c>
    </row>
    <row r="307" spans="1:9" x14ac:dyDescent="0.25">
      <c r="A307" t="s">
        <v>12</v>
      </c>
      <c r="B307" t="str">
        <f>"44111394      "</f>
        <v xml:space="preserve">44111394      </v>
      </c>
      <c r="C307" t="s">
        <v>594</v>
      </c>
      <c r="D307" t="s">
        <v>590</v>
      </c>
      <c r="E307" s="3">
        <v>44562</v>
      </c>
      <c r="G307" t="s">
        <v>560</v>
      </c>
      <c r="H307" t="s">
        <v>585</v>
      </c>
      <c r="I307" t="s">
        <v>592</v>
      </c>
    </row>
    <row r="308" spans="1:9" x14ac:dyDescent="0.25">
      <c r="A308" t="s">
        <v>2</v>
      </c>
      <c r="B308" t="str">
        <f>"44111490      "</f>
        <v xml:space="preserve">44111490      </v>
      </c>
      <c r="C308" t="s">
        <v>595</v>
      </c>
      <c r="E308" s="3">
        <v>41122</v>
      </c>
      <c r="F308" s="3">
        <v>44562</v>
      </c>
      <c r="G308" t="s">
        <v>560</v>
      </c>
      <c r="H308" t="s">
        <v>585</v>
      </c>
      <c r="I308" t="s">
        <v>596</v>
      </c>
    </row>
    <row r="309" spans="1:9" x14ac:dyDescent="0.25">
      <c r="A309" t="s">
        <v>12</v>
      </c>
      <c r="B309" t="str">
        <f>"44111492      "</f>
        <v xml:space="preserve">44111492      </v>
      </c>
      <c r="C309" t="s">
        <v>597</v>
      </c>
      <c r="D309" t="s">
        <v>588</v>
      </c>
      <c r="E309" s="3">
        <v>44562</v>
      </c>
      <c r="G309" t="s">
        <v>560</v>
      </c>
      <c r="H309" t="s">
        <v>585</v>
      </c>
      <c r="I309" t="s">
        <v>596</v>
      </c>
    </row>
    <row r="310" spans="1:9" x14ac:dyDescent="0.25">
      <c r="A310" t="s">
        <v>12</v>
      </c>
      <c r="B310" t="str">
        <f>"44111495      "</f>
        <v xml:space="preserve">44111495      </v>
      </c>
      <c r="C310" t="s">
        <v>598</v>
      </c>
      <c r="D310" t="s">
        <v>599</v>
      </c>
      <c r="E310" s="3">
        <v>44562</v>
      </c>
      <c r="G310" t="s">
        <v>560</v>
      </c>
      <c r="H310" t="s">
        <v>585</v>
      </c>
      <c r="I310" t="s">
        <v>596</v>
      </c>
    </row>
    <row r="311" spans="1:9" x14ac:dyDescent="0.25">
      <c r="A311" t="s">
        <v>12</v>
      </c>
      <c r="B311" t="str">
        <f>"44111497      "</f>
        <v xml:space="preserve">44111497      </v>
      </c>
      <c r="C311" t="s">
        <v>600</v>
      </c>
      <c r="D311" t="s">
        <v>601</v>
      </c>
      <c r="E311" s="3">
        <v>44562</v>
      </c>
      <c r="G311" t="s">
        <v>560</v>
      </c>
      <c r="H311" t="s">
        <v>585</v>
      </c>
      <c r="I311" t="s">
        <v>596</v>
      </c>
    </row>
    <row r="312" spans="1:9" x14ac:dyDescent="0.25">
      <c r="A312" t="s">
        <v>12</v>
      </c>
      <c r="B312" t="str">
        <f>"44119300      "</f>
        <v xml:space="preserve">44119300      </v>
      </c>
      <c r="C312" t="s">
        <v>602</v>
      </c>
      <c r="D312" t="s">
        <v>603</v>
      </c>
      <c r="E312" s="3">
        <v>44562</v>
      </c>
      <c r="G312" t="s">
        <v>560</v>
      </c>
      <c r="H312" t="s">
        <v>585</v>
      </c>
      <c r="I312" t="s">
        <v>604</v>
      </c>
    </row>
    <row r="313" spans="1:9" x14ac:dyDescent="0.25">
      <c r="A313" t="s">
        <v>2</v>
      </c>
      <c r="B313" t="str">
        <f>"44119310      "</f>
        <v xml:space="preserve">44119310      </v>
      </c>
      <c r="C313" t="s">
        <v>605</v>
      </c>
      <c r="E313" s="3">
        <v>41122</v>
      </c>
      <c r="F313" s="3">
        <v>44562</v>
      </c>
      <c r="G313" t="s">
        <v>560</v>
      </c>
      <c r="H313" t="s">
        <v>585</v>
      </c>
      <c r="I313" t="s">
        <v>604</v>
      </c>
    </row>
    <row r="314" spans="1:9" x14ac:dyDescent="0.25">
      <c r="A314" t="s">
        <v>2</v>
      </c>
      <c r="B314" t="str">
        <f>"44119390      "</f>
        <v xml:space="preserve">44119390      </v>
      </c>
      <c r="C314" t="s">
        <v>606</v>
      </c>
      <c r="E314" s="3">
        <v>41122</v>
      </c>
      <c r="F314" s="3">
        <v>44562</v>
      </c>
      <c r="G314" t="s">
        <v>560</v>
      </c>
      <c r="H314" t="s">
        <v>585</v>
      </c>
      <c r="I314" t="s">
        <v>604</v>
      </c>
    </row>
    <row r="315" spans="1:9" x14ac:dyDescent="0.25">
      <c r="A315" t="s">
        <v>2</v>
      </c>
      <c r="B315" t="str">
        <f>"44123300      "</f>
        <v xml:space="preserve">44123300      </v>
      </c>
      <c r="C315" t="s">
        <v>607</v>
      </c>
      <c r="E315" s="3">
        <v>42736</v>
      </c>
      <c r="F315" s="3">
        <v>44562</v>
      </c>
      <c r="G315" t="s">
        <v>560</v>
      </c>
      <c r="H315" t="s">
        <v>608</v>
      </c>
      <c r="I315" t="s">
        <v>609</v>
      </c>
    </row>
    <row r="316" spans="1:9" x14ac:dyDescent="0.25">
      <c r="A316" t="s">
        <v>12</v>
      </c>
      <c r="B316" t="str">
        <f>"44123310      "</f>
        <v xml:space="preserve">44123310      </v>
      </c>
      <c r="C316" t="s">
        <v>610</v>
      </c>
      <c r="D316" t="s">
        <v>611</v>
      </c>
      <c r="E316" s="3">
        <v>44562</v>
      </c>
      <c r="G316" t="s">
        <v>560</v>
      </c>
      <c r="H316" t="s">
        <v>608</v>
      </c>
      <c r="I316" t="s">
        <v>609</v>
      </c>
    </row>
    <row r="317" spans="1:9" x14ac:dyDescent="0.25">
      <c r="A317" t="s">
        <v>12</v>
      </c>
      <c r="B317" t="str">
        <f>"44123320      "</f>
        <v xml:space="preserve">44123320      </v>
      </c>
      <c r="C317" t="s">
        <v>612</v>
      </c>
      <c r="D317" t="s">
        <v>613</v>
      </c>
      <c r="E317" s="3">
        <v>44562</v>
      </c>
      <c r="G317" t="s">
        <v>560</v>
      </c>
      <c r="H317" t="s">
        <v>608</v>
      </c>
      <c r="I317" t="s">
        <v>609</v>
      </c>
    </row>
    <row r="318" spans="1:9" x14ac:dyDescent="0.25">
      <c r="A318" t="s">
        <v>12</v>
      </c>
      <c r="B318" t="str">
        <f>"44123330      "</f>
        <v xml:space="preserve">44123330      </v>
      </c>
      <c r="C318" t="s">
        <v>614</v>
      </c>
      <c r="D318" t="s">
        <v>615</v>
      </c>
      <c r="E318" s="3">
        <v>44562</v>
      </c>
      <c r="G318" t="s">
        <v>560</v>
      </c>
      <c r="H318" t="s">
        <v>608</v>
      </c>
      <c r="I318" t="s">
        <v>609</v>
      </c>
    </row>
    <row r="319" spans="1:9" x14ac:dyDescent="0.25">
      <c r="A319" t="s">
        <v>12</v>
      </c>
      <c r="B319" t="str">
        <f>"44123390      "</f>
        <v xml:space="preserve">44123390      </v>
      </c>
      <c r="C319" t="s">
        <v>616</v>
      </c>
      <c r="D319" t="s">
        <v>16</v>
      </c>
      <c r="E319" s="3">
        <v>44562</v>
      </c>
      <c r="G319" t="s">
        <v>560</v>
      </c>
      <c r="H319" t="s">
        <v>608</v>
      </c>
      <c r="I319" t="s">
        <v>609</v>
      </c>
    </row>
    <row r="320" spans="1:9" x14ac:dyDescent="0.25">
      <c r="A320" t="s">
        <v>12</v>
      </c>
      <c r="B320" t="str">
        <f>"44124191      "</f>
        <v xml:space="preserve">44124191      </v>
      </c>
      <c r="C320" t="s">
        <v>617</v>
      </c>
      <c r="D320" t="s">
        <v>618</v>
      </c>
      <c r="E320" s="3">
        <v>44562</v>
      </c>
      <c r="G320" t="s">
        <v>560</v>
      </c>
      <c r="H320" t="s">
        <v>608</v>
      </c>
    </row>
    <row r="321" spans="1:9" x14ac:dyDescent="0.25">
      <c r="A321" t="s">
        <v>12</v>
      </c>
      <c r="B321" t="str">
        <f>"44124199      "</f>
        <v xml:space="preserve">44124199      </v>
      </c>
      <c r="C321" t="s">
        <v>619</v>
      </c>
      <c r="D321" t="s">
        <v>16</v>
      </c>
      <c r="E321" s="3">
        <v>44562</v>
      </c>
      <c r="G321" t="s">
        <v>560</v>
      </c>
      <c r="H321" t="s">
        <v>608</v>
      </c>
    </row>
    <row r="322" spans="1:9" x14ac:dyDescent="0.25">
      <c r="A322" t="s">
        <v>12</v>
      </c>
      <c r="B322" t="str">
        <f>"44124200      "</f>
        <v xml:space="preserve">44124200      </v>
      </c>
      <c r="C322" t="s">
        <v>620</v>
      </c>
      <c r="D322" t="s">
        <v>621</v>
      </c>
      <c r="E322" s="3">
        <v>44562</v>
      </c>
      <c r="G322" t="s">
        <v>560</v>
      </c>
      <c r="H322" t="s">
        <v>608</v>
      </c>
    </row>
    <row r="323" spans="1:9" x14ac:dyDescent="0.25">
      <c r="A323" t="s">
        <v>12</v>
      </c>
      <c r="B323" t="str">
        <f>"44124900      "</f>
        <v xml:space="preserve">44124900      </v>
      </c>
      <c r="C323" t="s">
        <v>622</v>
      </c>
      <c r="D323" t="s">
        <v>623</v>
      </c>
      <c r="E323" s="3">
        <v>44562</v>
      </c>
      <c r="G323" t="s">
        <v>560</v>
      </c>
      <c r="H323" t="s">
        <v>608</v>
      </c>
    </row>
    <row r="324" spans="1:9" x14ac:dyDescent="0.25">
      <c r="A324" t="s">
        <v>12</v>
      </c>
      <c r="B324" t="str">
        <f>"44125110      "</f>
        <v xml:space="preserve">44125110      </v>
      </c>
      <c r="C324" t="s">
        <v>624</v>
      </c>
      <c r="D324" t="s">
        <v>625</v>
      </c>
      <c r="E324" s="3">
        <v>44562</v>
      </c>
      <c r="G324" t="s">
        <v>560</v>
      </c>
      <c r="H324" t="s">
        <v>608</v>
      </c>
    </row>
    <row r="325" spans="1:9" x14ac:dyDescent="0.25">
      <c r="A325" t="s">
        <v>12</v>
      </c>
      <c r="B325" t="str">
        <f>"44125190      "</f>
        <v xml:space="preserve">44125190      </v>
      </c>
      <c r="C325" t="s">
        <v>626</v>
      </c>
      <c r="D325" t="s">
        <v>16</v>
      </c>
      <c r="E325" s="3">
        <v>44562</v>
      </c>
      <c r="G325" t="s">
        <v>560</v>
      </c>
      <c r="H325" t="s">
        <v>608</v>
      </c>
    </row>
    <row r="326" spans="1:9" x14ac:dyDescent="0.25">
      <c r="A326" t="s">
        <v>12</v>
      </c>
      <c r="B326" t="str">
        <f>"44125200      "</f>
        <v xml:space="preserve">44125200      </v>
      </c>
      <c r="C326" t="s">
        <v>627</v>
      </c>
      <c r="D326" t="s">
        <v>628</v>
      </c>
      <c r="E326" s="3">
        <v>44562</v>
      </c>
      <c r="G326" t="s">
        <v>560</v>
      </c>
      <c r="H326" t="s">
        <v>608</v>
      </c>
    </row>
    <row r="327" spans="1:9" x14ac:dyDescent="0.25">
      <c r="A327" t="s">
        <v>12</v>
      </c>
      <c r="B327" t="str">
        <f>"44125900      "</f>
        <v xml:space="preserve">44125900      </v>
      </c>
      <c r="C327" t="s">
        <v>629</v>
      </c>
      <c r="D327" t="s">
        <v>630</v>
      </c>
      <c r="E327" s="3">
        <v>44562</v>
      </c>
      <c r="G327" t="s">
        <v>560</v>
      </c>
      <c r="H327" t="s">
        <v>608</v>
      </c>
    </row>
    <row r="328" spans="1:9" x14ac:dyDescent="0.25">
      <c r="A328" t="s">
        <v>12</v>
      </c>
      <c r="B328" t="str">
        <f>"44129110      "</f>
        <v xml:space="preserve">44129110      </v>
      </c>
      <c r="C328" t="s">
        <v>631</v>
      </c>
      <c r="D328" t="s">
        <v>632</v>
      </c>
      <c r="E328" s="3">
        <v>44562</v>
      </c>
      <c r="G328" t="s">
        <v>560</v>
      </c>
      <c r="H328" t="s">
        <v>608</v>
      </c>
      <c r="I328" t="s">
        <v>337</v>
      </c>
    </row>
    <row r="329" spans="1:9" x14ac:dyDescent="0.25">
      <c r="A329" t="s">
        <v>12</v>
      </c>
      <c r="B329" t="str">
        <f>"44129191      "</f>
        <v xml:space="preserve">44129191      </v>
      </c>
      <c r="C329" t="s">
        <v>633</v>
      </c>
      <c r="D329" t="s">
        <v>634</v>
      </c>
      <c r="E329" s="3">
        <v>44562</v>
      </c>
      <c r="G329" t="s">
        <v>560</v>
      </c>
      <c r="H329" t="s">
        <v>608</v>
      </c>
      <c r="I329" t="s">
        <v>337</v>
      </c>
    </row>
    <row r="330" spans="1:9" x14ac:dyDescent="0.25">
      <c r="A330" t="s">
        <v>12</v>
      </c>
      <c r="B330" t="str">
        <f>"44129199      "</f>
        <v xml:space="preserve">44129199      </v>
      </c>
      <c r="C330" t="s">
        <v>635</v>
      </c>
      <c r="D330" t="s">
        <v>78</v>
      </c>
      <c r="E330" s="3">
        <v>44562</v>
      </c>
      <c r="G330" t="s">
        <v>560</v>
      </c>
      <c r="H330" t="s">
        <v>608</v>
      </c>
      <c r="I330" t="s">
        <v>337</v>
      </c>
    </row>
    <row r="331" spans="1:9" x14ac:dyDescent="0.25">
      <c r="A331" t="s">
        <v>12</v>
      </c>
      <c r="B331" t="str">
        <f>"44129210      "</f>
        <v xml:space="preserve">44129210      </v>
      </c>
      <c r="C331" t="s">
        <v>636</v>
      </c>
      <c r="D331" t="s">
        <v>632</v>
      </c>
      <c r="E331" s="3">
        <v>44562</v>
      </c>
      <c r="G331" t="s">
        <v>560</v>
      </c>
      <c r="H331" t="s">
        <v>608</v>
      </c>
      <c r="I331" t="s">
        <v>337</v>
      </c>
    </row>
    <row r="332" spans="1:9" x14ac:dyDescent="0.25">
      <c r="A332" t="s">
        <v>12</v>
      </c>
      <c r="B332" t="str">
        <f>"44129290      "</f>
        <v xml:space="preserve">44129290      </v>
      </c>
      <c r="C332" t="s">
        <v>637</v>
      </c>
      <c r="D332" t="s">
        <v>16</v>
      </c>
      <c r="E332" s="3">
        <v>44562</v>
      </c>
      <c r="G332" t="s">
        <v>560</v>
      </c>
      <c r="H332" t="s">
        <v>608</v>
      </c>
      <c r="I332" t="s">
        <v>337</v>
      </c>
    </row>
    <row r="333" spans="1:9" x14ac:dyDescent="0.25">
      <c r="A333" t="s">
        <v>2</v>
      </c>
      <c r="B333" t="str">
        <f>"44129410      "</f>
        <v xml:space="preserve">44129410      </v>
      </c>
      <c r="C333" t="s">
        <v>638</v>
      </c>
      <c r="E333" s="3">
        <v>41122</v>
      </c>
      <c r="F333" s="3">
        <v>44562</v>
      </c>
      <c r="G333" t="s">
        <v>560</v>
      </c>
      <c r="H333" t="s">
        <v>608</v>
      </c>
      <c r="I333" t="s">
        <v>639</v>
      </c>
    </row>
    <row r="334" spans="1:9" x14ac:dyDescent="0.25">
      <c r="A334" t="s">
        <v>2</v>
      </c>
      <c r="B334" t="str">
        <f>"44129490      "</f>
        <v xml:space="preserve">44129490      </v>
      </c>
      <c r="C334" t="s">
        <v>640</v>
      </c>
      <c r="E334" s="3">
        <v>41122</v>
      </c>
      <c r="F334" s="3">
        <v>44562</v>
      </c>
      <c r="G334" t="s">
        <v>560</v>
      </c>
      <c r="H334" t="s">
        <v>608</v>
      </c>
      <c r="I334" t="s">
        <v>639</v>
      </c>
    </row>
    <row r="335" spans="1:9" x14ac:dyDescent="0.25">
      <c r="A335" t="s">
        <v>12</v>
      </c>
      <c r="B335" t="str">
        <f>"44129910      "</f>
        <v xml:space="preserve">44129910      </v>
      </c>
      <c r="C335" t="s">
        <v>641</v>
      </c>
      <c r="D335" t="s">
        <v>632</v>
      </c>
      <c r="E335" s="3">
        <v>44562</v>
      </c>
      <c r="G335" t="s">
        <v>560</v>
      </c>
      <c r="H335" t="s">
        <v>608</v>
      </c>
      <c r="I335" t="s">
        <v>642</v>
      </c>
    </row>
    <row r="336" spans="1:9" x14ac:dyDescent="0.25">
      <c r="A336" t="s">
        <v>2</v>
      </c>
      <c r="B336" t="str">
        <f>"44129930      "</f>
        <v xml:space="preserve">44129930      </v>
      </c>
      <c r="C336" t="s">
        <v>643</v>
      </c>
      <c r="E336" s="3">
        <v>41122</v>
      </c>
      <c r="F336" s="3">
        <v>44562</v>
      </c>
      <c r="G336" t="s">
        <v>560</v>
      </c>
      <c r="H336" t="s">
        <v>608</v>
      </c>
      <c r="I336" t="s">
        <v>642</v>
      </c>
    </row>
    <row r="337" spans="1:9" x14ac:dyDescent="0.25">
      <c r="A337" t="s">
        <v>2</v>
      </c>
      <c r="B337" t="str">
        <f>"44129940      "</f>
        <v xml:space="preserve">44129940      </v>
      </c>
      <c r="C337" t="s">
        <v>644</v>
      </c>
      <c r="E337" s="3">
        <v>41122</v>
      </c>
      <c r="F337" s="3">
        <v>44562</v>
      </c>
      <c r="G337" t="s">
        <v>560</v>
      </c>
      <c r="H337" t="s">
        <v>608</v>
      </c>
      <c r="I337" t="s">
        <v>642</v>
      </c>
    </row>
    <row r="338" spans="1:9" x14ac:dyDescent="0.25">
      <c r="A338" t="s">
        <v>2</v>
      </c>
      <c r="B338" t="str">
        <f>"44129950      "</f>
        <v xml:space="preserve">44129950      </v>
      </c>
      <c r="C338" t="s">
        <v>645</v>
      </c>
      <c r="E338" s="3">
        <v>41122</v>
      </c>
      <c r="F338" s="3">
        <v>44562</v>
      </c>
      <c r="G338" t="s">
        <v>560</v>
      </c>
      <c r="H338" t="s">
        <v>608</v>
      </c>
      <c r="I338" t="s">
        <v>642</v>
      </c>
    </row>
    <row r="339" spans="1:9" x14ac:dyDescent="0.25">
      <c r="A339" t="s">
        <v>2</v>
      </c>
      <c r="B339" t="str">
        <f>"44129985      "</f>
        <v xml:space="preserve">44129985      </v>
      </c>
      <c r="C339" t="s">
        <v>646</v>
      </c>
      <c r="E339" s="3">
        <v>41122</v>
      </c>
      <c r="F339" s="3">
        <v>44562</v>
      </c>
      <c r="G339" t="s">
        <v>560</v>
      </c>
      <c r="H339" t="s">
        <v>608</v>
      </c>
      <c r="I339" t="s">
        <v>642</v>
      </c>
    </row>
    <row r="340" spans="1:9" x14ac:dyDescent="0.25">
      <c r="A340" t="s">
        <v>12</v>
      </c>
      <c r="B340" t="str">
        <f>"44129990      "</f>
        <v xml:space="preserve">44129990      </v>
      </c>
      <c r="C340" t="s">
        <v>647</v>
      </c>
      <c r="D340" t="s">
        <v>16</v>
      </c>
      <c r="E340" s="3">
        <v>44562</v>
      </c>
      <c r="G340" t="s">
        <v>560</v>
      </c>
      <c r="H340" t="s">
        <v>608</v>
      </c>
      <c r="I340" t="s">
        <v>642</v>
      </c>
    </row>
    <row r="341" spans="1:9" x14ac:dyDescent="0.25">
      <c r="A341" t="s">
        <v>2</v>
      </c>
      <c r="B341" t="str">
        <f>"44140010      "</f>
        <v xml:space="preserve">44140010      </v>
      </c>
      <c r="C341" t="s">
        <v>648</v>
      </c>
      <c r="E341" s="3">
        <v>41122</v>
      </c>
      <c r="F341" s="3">
        <v>44562</v>
      </c>
      <c r="G341" t="s">
        <v>560</v>
      </c>
      <c r="H341" t="s">
        <v>649</v>
      </c>
      <c r="I341" t="s">
        <v>650</v>
      </c>
    </row>
    <row r="342" spans="1:9" x14ac:dyDescent="0.25">
      <c r="A342" t="s">
        <v>2</v>
      </c>
      <c r="B342" t="str">
        <f>"44140090      "</f>
        <v xml:space="preserve">44140090      </v>
      </c>
      <c r="C342" t="s">
        <v>651</v>
      </c>
      <c r="E342" s="3">
        <v>41122</v>
      </c>
      <c r="F342" s="3">
        <v>44562</v>
      </c>
      <c r="G342" t="s">
        <v>560</v>
      </c>
      <c r="H342" t="s">
        <v>649</v>
      </c>
      <c r="I342" t="s">
        <v>650</v>
      </c>
    </row>
    <row r="343" spans="1:9" x14ac:dyDescent="0.25">
      <c r="A343" t="s">
        <v>12</v>
      </c>
      <c r="B343" t="str">
        <f>"44141010      "</f>
        <v xml:space="preserve">44141010      </v>
      </c>
      <c r="C343" t="s">
        <v>652</v>
      </c>
      <c r="D343" t="s">
        <v>653</v>
      </c>
      <c r="E343" s="3">
        <v>44562</v>
      </c>
      <c r="G343" t="s">
        <v>560</v>
      </c>
      <c r="H343" t="s">
        <v>649</v>
      </c>
    </row>
    <row r="344" spans="1:9" x14ac:dyDescent="0.25">
      <c r="A344" t="s">
        <v>12</v>
      </c>
      <c r="B344" t="str">
        <f>"44141090      "</f>
        <v xml:space="preserve">44141090      </v>
      </c>
      <c r="C344" t="s">
        <v>654</v>
      </c>
      <c r="D344" t="s">
        <v>16</v>
      </c>
      <c r="E344" s="3">
        <v>44562</v>
      </c>
      <c r="G344" t="s">
        <v>560</v>
      </c>
      <c r="H344" t="s">
        <v>649</v>
      </c>
    </row>
    <row r="345" spans="1:9" x14ac:dyDescent="0.25">
      <c r="A345" t="s">
        <v>12</v>
      </c>
      <c r="B345" t="str">
        <f>"44149000      "</f>
        <v xml:space="preserve">44149000      </v>
      </c>
      <c r="C345" t="s">
        <v>655</v>
      </c>
      <c r="D345" t="s">
        <v>16</v>
      </c>
      <c r="E345" s="3">
        <v>44562</v>
      </c>
      <c r="G345" t="s">
        <v>560</v>
      </c>
      <c r="H345" t="s">
        <v>649</v>
      </c>
    </row>
    <row r="346" spans="1:9" x14ac:dyDescent="0.25">
      <c r="A346" t="s">
        <v>2</v>
      </c>
      <c r="B346" t="str">
        <f>"44181010      "</f>
        <v xml:space="preserve">44181010      </v>
      </c>
      <c r="C346" t="s">
        <v>656</v>
      </c>
      <c r="E346" s="3">
        <v>41122</v>
      </c>
      <c r="F346" s="3">
        <v>44562</v>
      </c>
      <c r="G346" t="s">
        <v>560</v>
      </c>
      <c r="H346" t="s">
        <v>657</v>
      </c>
      <c r="I346" t="s">
        <v>658</v>
      </c>
    </row>
    <row r="347" spans="1:9" x14ac:dyDescent="0.25">
      <c r="A347" t="s">
        <v>2</v>
      </c>
      <c r="B347" t="str">
        <f>"44181050      "</f>
        <v xml:space="preserve">44181050      </v>
      </c>
      <c r="C347" t="s">
        <v>659</v>
      </c>
      <c r="E347" s="3">
        <v>41122</v>
      </c>
      <c r="F347" s="3">
        <v>44562</v>
      </c>
      <c r="G347" t="s">
        <v>560</v>
      </c>
      <c r="H347" t="s">
        <v>657</v>
      </c>
      <c r="I347" t="s">
        <v>658</v>
      </c>
    </row>
    <row r="348" spans="1:9" x14ac:dyDescent="0.25">
      <c r="A348" t="s">
        <v>2</v>
      </c>
      <c r="B348" t="str">
        <f>"44181090      "</f>
        <v xml:space="preserve">44181090      </v>
      </c>
      <c r="C348" t="s">
        <v>660</v>
      </c>
      <c r="E348" s="3">
        <v>41122</v>
      </c>
      <c r="F348" s="3">
        <v>44562</v>
      </c>
      <c r="G348" t="s">
        <v>560</v>
      </c>
      <c r="H348" t="s">
        <v>657</v>
      </c>
      <c r="I348" t="s">
        <v>658</v>
      </c>
    </row>
    <row r="349" spans="1:9" x14ac:dyDescent="0.25">
      <c r="A349" t="s">
        <v>12</v>
      </c>
      <c r="B349" t="str">
        <f>"44181100      "</f>
        <v xml:space="preserve">44181100      </v>
      </c>
      <c r="C349" t="s">
        <v>661</v>
      </c>
      <c r="D349" t="s">
        <v>662</v>
      </c>
      <c r="E349" s="3">
        <v>44562</v>
      </c>
      <c r="G349" t="s">
        <v>560</v>
      </c>
      <c r="H349" t="s">
        <v>657</v>
      </c>
    </row>
    <row r="350" spans="1:9" x14ac:dyDescent="0.25">
      <c r="A350" t="s">
        <v>12</v>
      </c>
      <c r="B350" t="str">
        <f>"44181950      "</f>
        <v xml:space="preserve">44181950      </v>
      </c>
      <c r="C350" t="s">
        <v>663</v>
      </c>
      <c r="D350" t="s">
        <v>664</v>
      </c>
      <c r="E350" s="3">
        <v>44562</v>
      </c>
      <c r="G350" t="s">
        <v>560</v>
      </c>
      <c r="H350" t="s">
        <v>657</v>
      </c>
    </row>
    <row r="351" spans="1:9" x14ac:dyDescent="0.25">
      <c r="A351" t="s">
        <v>12</v>
      </c>
      <c r="B351" t="str">
        <f>"44181990      "</f>
        <v xml:space="preserve">44181990      </v>
      </c>
      <c r="C351" t="s">
        <v>665</v>
      </c>
      <c r="D351" t="s">
        <v>16</v>
      </c>
      <c r="E351" s="3">
        <v>44562</v>
      </c>
      <c r="G351" t="s">
        <v>560</v>
      </c>
      <c r="H351" t="s">
        <v>657</v>
      </c>
    </row>
    <row r="352" spans="1:9" x14ac:dyDescent="0.25">
      <c r="A352" t="s">
        <v>2</v>
      </c>
      <c r="B352" t="str">
        <f>"44182010      "</f>
        <v xml:space="preserve">44182010      </v>
      </c>
      <c r="C352" t="s">
        <v>666</v>
      </c>
      <c r="E352" s="3">
        <v>41122</v>
      </c>
      <c r="F352" s="3">
        <v>44562</v>
      </c>
      <c r="G352" t="s">
        <v>560</v>
      </c>
      <c r="H352" t="s">
        <v>657</v>
      </c>
      <c r="I352" t="s">
        <v>667</v>
      </c>
    </row>
    <row r="353" spans="1:9" x14ac:dyDescent="0.25">
      <c r="A353" t="s">
        <v>2</v>
      </c>
      <c r="B353" t="str">
        <f>"44182050      "</f>
        <v xml:space="preserve">44182050      </v>
      </c>
      <c r="C353" t="s">
        <v>668</v>
      </c>
      <c r="E353" s="3">
        <v>41122</v>
      </c>
      <c r="F353" s="3">
        <v>44562</v>
      </c>
      <c r="G353" t="s">
        <v>560</v>
      </c>
      <c r="H353" t="s">
        <v>657</v>
      </c>
      <c r="I353" t="s">
        <v>667</v>
      </c>
    </row>
    <row r="354" spans="1:9" x14ac:dyDescent="0.25">
      <c r="A354" t="s">
        <v>2</v>
      </c>
      <c r="B354" t="str">
        <f>"44182080      "</f>
        <v xml:space="preserve">44182080      </v>
      </c>
      <c r="C354" t="s">
        <v>669</v>
      </c>
      <c r="E354" s="3">
        <v>41122</v>
      </c>
      <c r="F354" s="3">
        <v>44562</v>
      </c>
      <c r="G354" t="s">
        <v>560</v>
      </c>
      <c r="H354" t="s">
        <v>657</v>
      </c>
      <c r="I354" t="s">
        <v>667</v>
      </c>
    </row>
    <row r="355" spans="1:9" x14ac:dyDescent="0.25">
      <c r="A355" t="s">
        <v>12</v>
      </c>
      <c r="B355" t="str">
        <f>"44182110      "</f>
        <v xml:space="preserve">44182110      </v>
      </c>
      <c r="C355" t="s">
        <v>670</v>
      </c>
      <c r="D355" t="s">
        <v>653</v>
      </c>
      <c r="E355" s="3">
        <v>44562</v>
      </c>
      <c r="G355" t="s">
        <v>560</v>
      </c>
      <c r="H355" t="s">
        <v>657</v>
      </c>
    </row>
    <row r="356" spans="1:9" x14ac:dyDescent="0.25">
      <c r="A356" t="s">
        <v>12</v>
      </c>
      <c r="B356" t="str">
        <f>"44182190      "</f>
        <v xml:space="preserve">44182190      </v>
      </c>
      <c r="C356" t="s">
        <v>671</v>
      </c>
      <c r="D356" t="s">
        <v>16</v>
      </c>
      <c r="E356" s="3">
        <v>44562</v>
      </c>
      <c r="G356" t="s">
        <v>560</v>
      </c>
      <c r="H356" t="s">
        <v>657</v>
      </c>
    </row>
    <row r="357" spans="1:9" x14ac:dyDescent="0.25">
      <c r="A357" t="s">
        <v>12</v>
      </c>
      <c r="B357" t="str">
        <f>"44182950      "</f>
        <v xml:space="preserve">44182950      </v>
      </c>
      <c r="C357" t="s">
        <v>672</v>
      </c>
      <c r="D357" t="s">
        <v>664</v>
      </c>
      <c r="E357" s="3">
        <v>44562</v>
      </c>
      <c r="G357" t="s">
        <v>560</v>
      </c>
      <c r="H357" t="s">
        <v>657</v>
      </c>
    </row>
    <row r="358" spans="1:9" x14ac:dyDescent="0.25">
      <c r="A358" t="s">
        <v>12</v>
      </c>
      <c r="B358" t="str">
        <f>"44182980      "</f>
        <v xml:space="preserve">44182980      </v>
      </c>
      <c r="C358" t="s">
        <v>673</v>
      </c>
      <c r="D358" t="s">
        <v>16</v>
      </c>
      <c r="E358" s="3">
        <v>44562</v>
      </c>
      <c r="G358" t="s">
        <v>560</v>
      </c>
      <c r="H358" t="s">
        <v>657</v>
      </c>
    </row>
    <row r="359" spans="1:9" x14ac:dyDescent="0.25">
      <c r="A359" t="s">
        <v>12</v>
      </c>
      <c r="B359" t="str">
        <f>"44183000      "</f>
        <v xml:space="preserve">44183000      </v>
      </c>
      <c r="C359" t="s">
        <v>674</v>
      </c>
      <c r="D359" t="s">
        <v>675</v>
      </c>
      <c r="E359" s="3">
        <v>44562</v>
      </c>
      <c r="G359" t="s">
        <v>560</v>
      </c>
      <c r="H359" t="s">
        <v>657</v>
      </c>
    </row>
    <row r="360" spans="1:9" x14ac:dyDescent="0.25">
      <c r="A360" t="s">
        <v>2</v>
      </c>
      <c r="B360" t="str">
        <f>"44186000      "</f>
        <v xml:space="preserve">44186000      </v>
      </c>
      <c r="C360" t="s">
        <v>676</v>
      </c>
      <c r="E360" s="3">
        <v>41122</v>
      </c>
      <c r="F360" s="3">
        <v>44562</v>
      </c>
      <c r="G360" t="s">
        <v>560</v>
      </c>
      <c r="H360" t="s">
        <v>657</v>
      </c>
      <c r="I360" t="s">
        <v>677</v>
      </c>
    </row>
    <row r="361" spans="1:9" x14ac:dyDescent="0.25">
      <c r="A361" t="s">
        <v>12</v>
      </c>
      <c r="B361" t="str">
        <f>"44188100      "</f>
        <v xml:space="preserve">44188100      </v>
      </c>
      <c r="C361" t="s">
        <v>678</v>
      </c>
      <c r="D361" t="s">
        <v>679</v>
      </c>
      <c r="E361" s="3">
        <v>44562</v>
      </c>
      <c r="G361" t="s">
        <v>560</v>
      </c>
      <c r="H361" t="s">
        <v>657</v>
      </c>
    </row>
    <row r="362" spans="1:9" x14ac:dyDescent="0.25">
      <c r="A362" t="s">
        <v>12</v>
      </c>
      <c r="B362" t="str">
        <f>"44188200      "</f>
        <v xml:space="preserve">44188200      </v>
      </c>
      <c r="C362" t="s">
        <v>680</v>
      </c>
      <c r="D362" t="s">
        <v>681</v>
      </c>
      <c r="E362" s="3">
        <v>44562</v>
      </c>
      <c r="G362" t="s">
        <v>560</v>
      </c>
      <c r="H362" t="s">
        <v>657</v>
      </c>
    </row>
    <row r="363" spans="1:9" x14ac:dyDescent="0.25">
      <c r="A363" t="s">
        <v>12</v>
      </c>
      <c r="B363" t="str">
        <f>"44188300      "</f>
        <v xml:space="preserve">44188300      </v>
      </c>
      <c r="C363" t="s">
        <v>682</v>
      </c>
      <c r="D363" t="s">
        <v>683</v>
      </c>
      <c r="E363" s="3">
        <v>44562</v>
      </c>
      <c r="G363" t="s">
        <v>560</v>
      </c>
      <c r="H363" t="s">
        <v>657</v>
      </c>
    </row>
    <row r="364" spans="1:9" x14ac:dyDescent="0.25">
      <c r="A364" t="s">
        <v>12</v>
      </c>
      <c r="B364" t="str">
        <f>"44188900      "</f>
        <v xml:space="preserve">44188900      </v>
      </c>
      <c r="C364" t="s">
        <v>684</v>
      </c>
      <c r="D364" t="s">
        <v>685</v>
      </c>
      <c r="E364" s="3">
        <v>44562</v>
      </c>
      <c r="G364" t="s">
        <v>560</v>
      </c>
      <c r="H364" t="s">
        <v>657</v>
      </c>
    </row>
    <row r="365" spans="1:9" x14ac:dyDescent="0.25">
      <c r="A365" t="s">
        <v>12</v>
      </c>
      <c r="B365" t="str">
        <f>"44189200      "</f>
        <v xml:space="preserve">44189200      </v>
      </c>
      <c r="C365" t="s">
        <v>686</v>
      </c>
      <c r="D365" t="s">
        <v>687</v>
      </c>
      <c r="E365" s="3">
        <v>44562</v>
      </c>
      <c r="G365" t="s">
        <v>560</v>
      </c>
      <c r="H365" t="s">
        <v>657</v>
      </c>
    </row>
    <row r="366" spans="1:9" x14ac:dyDescent="0.25">
      <c r="A366" t="s">
        <v>12</v>
      </c>
      <c r="B366" t="str">
        <f>"44189900      "</f>
        <v xml:space="preserve">44189900      </v>
      </c>
      <c r="C366" t="s">
        <v>688</v>
      </c>
      <c r="D366" t="s">
        <v>78</v>
      </c>
      <c r="E366" s="3">
        <v>44562</v>
      </c>
      <c r="G366" t="s">
        <v>560</v>
      </c>
      <c r="H366" t="s">
        <v>657</v>
      </c>
    </row>
    <row r="367" spans="1:9" x14ac:dyDescent="0.25">
      <c r="A367" t="s">
        <v>2</v>
      </c>
      <c r="B367" t="str">
        <f>"44189910      "</f>
        <v xml:space="preserve">44189910      </v>
      </c>
      <c r="C367" t="s">
        <v>689</v>
      </c>
      <c r="E367" s="3">
        <v>42736</v>
      </c>
      <c r="F367" s="3">
        <v>44562</v>
      </c>
      <c r="G367" t="s">
        <v>560</v>
      </c>
      <c r="H367" t="s">
        <v>657</v>
      </c>
    </row>
    <row r="368" spans="1:9" x14ac:dyDescent="0.25">
      <c r="A368" t="s">
        <v>2</v>
      </c>
      <c r="B368" t="str">
        <f>"44189990      "</f>
        <v xml:space="preserve">44189990      </v>
      </c>
      <c r="C368" t="s">
        <v>690</v>
      </c>
      <c r="E368" s="3">
        <v>42736</v>
      </c>
      <c r="F368" s="3">
        <v>44562</v>
      </c>
      <c r="G368" t="s">
        <v>560</v>
      </c>
      <c r="H368" t="s">
        <v>657</v>
      </c>
    </row>
    <row r="369" spans="1:9" x14ac:dyDescent="0.25">
      <c r="A369" t="s">
        <v>12</v>
      </c>
      <c r="B369" t="str">
        <f>"44192010      "</f>
        <v xml:space="preserve">44192010      </v>
      </c>
      <c r="C369" t="s">
        <v>691</v>
      </c>
      <c r="D369" t="s">
        <v>653</v>
      </c>
      <c r="E369" s="3">
        <v>44562</v>
      </c>
      <c r="G369" t="s">
        <v>560</v>
      </c>
      <c r="H369" t="s">
        <v>692</v>
      </c>
    </row>
    <row r="370" spans="1:9" x14ac:dyDescent="0.25">
      <c r="A370" t="s">
        <v>12</v>
      </c>
      <c r="B370" t="str">
        <f>"44192090      "</f>
        <v xml:space="preserve">44192090      </v>
      </c>
      <c r="C370" t="s">
        <v>693</v>
      </c>
      <c r="D370" t="s">
        <v>16</v>
      </c>
      <c r="E370" s="3">
        <v>44562</v>
      </c>
      <c r="G370" t="s">
        <v>560</v>
      </c>
      <c r="H370" t="s">
        <v>692</v>
      </c>
    </row>
    <row r="371" spans="1:9" x14ac:dyDescent="0.25">
      <c r="A371" t="s">
        <v>12</v>
      </c>
      <c r="B371" t="str">
        <f>"44199000      "</f>
        <v xml:space="preserve">44199000      </v>
      </c>
      <c r="C371" t="s">
        <v>694</v>
      </c>
      <c r="D371" t="s">
        <v>16</v>
      </c>
      <c r="E371" s="3">
        <v>44562</v>
      </c>
      <c r="G371" t="s">
        <v>560</v>
      </c>
      <c r="H371" t="s">
        <v>692</v>
      </c>
    </row>
    <row r="372" spans="1:9" x14ac:dyDescent="0.25">
      <c r="A372" t="s">
        <v>2</v>
      </c>
      <c r="B372" t="str">
        <f>"44199010      "</f>
        <v xml:space="preserve">44199010      </v>
      </c>
      <c r="C372" t="s">
        <v>695</v>
      </c>
      <c r="E372" s="3">
        <v>42736</v>
      </c>
      <c r="F372" s="3">
        <v>44562</v>
      </c>
      <c r="G372" t="s">
        <v>560</v>
      </c>
      <c r="H372" t="s">
        <v>692</v>
      </c>
    </row>
    <row r="373" spans="1:9" x14ac:dyDescent="0.25">
      <c r="A373" t="s">
        <v>2</v>
      </c>
      <c r="B373" t="str">
        <f>"44199090      "</f>
        <v xml:space="preserve">44199090      </v>
      </c>
      <c r="C373" t="s">
        <v>696</v>
      </c>
      <c r="E373" s="3">
        <v>42736</v>
      </c>
      <c r="F373" s="3">
        <v>44562</v>
      </c>
      <c r="G373" t="s">
        <v>560</v>
      </c>
      <c r="H373" t="s">
        <v>692</v>
      </c>
    </row>
    <row r="374" spans="1:9" x14ac:dyDescent="0.25">
      <c r="A374" t="s">
        <v>2</v>
      </c>
      <c r="B374" t="str">
        <f>"44201011      "</f>
        <v xml:space="preserve">44201011      </v>
      </c>
      <c r="C374" t="s">
        <v>697</v>
      </c>
      <c r="E374" s="3">
        <v>41122</v>
      </c>
      <c r="F374" s="3">
        <v>44562</v>
      </c>
      <c r="G374" t="s">
        <v>560</v>
      </c>
      <c r="H374" t="s">
        <v>698</v>
      </c>
      <c r="I374" t="s">
        <v>699</v>
      </c>
    </row>
    <row r="375" spans="1:9" x14ac:dyDescent="0.25">
      <c r="A375" t="s">
        <v>2</v>
      </c>
      <c r="B375" t="str">
        <f>"44201019      "</f>
        <v xml:space="preserve">44201019      </v>
      </c>
      <c r="C375" t="s">
        <v>700</v>
      </c>
      <c r="E375" s="3">
        <v>41122</v>
      </c>
      <c r="F375" s="3">
        <v>44562</v>
      </c>
      <c r="G375" t="s">
        <v>560</v>
      </c>
      <c r="H375" t="s">
        <v>698</v>
      </c>
      <c r="I375" t="s">
        <v>699</v>
      </c>
    </row>
    <row r="376" spans="1:9" x14ac:dyDescent="0.25">
      <c r="A376" t="s">
        <v>12</v>
      </c>
      <c r="B376" t="str">
        <f>"44201110      "</f>
        <v xml:space="preserve">44201110      </v>
      </c>
      <c r="C376" t="s">
        <v>701</v>
      </c>
      <c r="D376" t="s">
        <v>653</v>
      </c>
      <c r="E376" s="3">
        <v>44562</v>
      </c>
      <c r="G376" t="s">
        <v>560</v>
      </c>
      <c r="H376" t="s">
        <v>698</v>
      </c>
    </row>
    <row r="377" spans="1:9" x14ac:dyDescent="0.25">
      <c r="A377" t="s">
        <v>12</v>
      </c>
      <c r="B377" t="str">
        <f>"44201190      "</f>
        <v xml:space="preserve">44201190      </v>
      </c>
      <c r="C377" t="s">
        <v>702</v>
      </c>
      <c r="D377" t="s">
        <v>16</v>
      </c>
      <c r="E377" s="3">
        <v>44562</v>
      </c>
      <c r="G377" t="s">
        <v>560</v>
      </c>
      <c r="H377" t="s">
        <v>698</v>
      </c>
    </row>
    <row r="378" spans="1:9" x14ac:dyDescent="0.25">
      <c r="A378" t="s">
        <v>12</v>
      </c>
      <c r="B378" t="str">
        <f>"44201900      "</f>
        <v xml:space="preserve">44201900      </v>
      </c>
      <c r="C378" t="s">
        <v>703</v>
      </c>
      <c r="D378" t="s">
        <v>704</v>
      </c>
      <c r="E378" s="3">
        <v>44562</v>
      </c>
      <c r="G378" t="s">
        <v>560</v>
      </c>
      <c r="H378" t="s">
        <v>698</v>
      </c>
    </row>
    <row r="379" spans="1:9" x14ac:dyDescent="0.25">
      <c r="A379" t="s">
        <v>12</v>
      </c>
      <c r="B379" t="str">
        <f>"44212000      "</f>
        <v xml:space="preserve">44212000      </v>
      </c>
      <c r="C379" t="s">
        <v>705</v>
      </c>
      <c r="D379" t="s">
        <v>706</v>
      </c>
      <c r="E379" s="3">
        <v>44562</v>
      </c>
      <c r="G379" t="s">
        <v>560</v>
      </c>
      <c r="H379" t="s">
        <v>707</v>
      </c>
    </row>
    <row r="380" spans="1:9" x14ac:dyDescent="0.25">
      <c r="A380" t="s">
        <v>2</v>
      </c>
      <c r="B380" t="str">
        <f>"44219991      "</f>
        <v xml:space="preserve">44219991      </v>
      </c>
      <c r="C380" t="s">
        <v>708</v>
      </c>
      <c r="E380" s="3">
        <v>42736</v>
      </c>
      <c r="F380" s="3">
        <v>44562</v>
      </c>
      <c r="G380" t="s">
        <v>560</v>
      </c>
      <c r="H380" t="s">
        <v>707</v>
      </c>
    </row>
    <row r="381" spans="1:9" x14ac:dyDescent="0.25">
      <c r="A381" t="s">
        <v>2</v>
      </c>
      <c r="B381" t="str">
        <f>"49051000      "</f>
        <v xml:space="preserve">49051000      </v>
      </c>
      <c r="C381" t="s">
        <v>709</v>
      </c>
      <c r="E381" s="3">
        <v>41122</v>
      </c>
      <c r="F381" s="3">
        <v>44562</v>
      </c>
      <c r="G381" t="s">
        <v>710</v>
      </c>
      <c r="H381" t="s">
        <v>711</v>
      </c>
      <c r="I381" t="s">
        <v>712</v>
      </c>
    </row>
    <row r="382" spans="1:9" x14ac:dyDescent="0.25">
      <c r="A382" t="s">
        <v>12</v>
      </c>
      <c r="B382" t="str">
        <f>"49052000      "</f>
        <v xml:space="preserve">49052000      </v>
      </c>
      <c r="C382" t="s">
        <v>713</v>
      </c>
      <c r="D382" t="s">
        <v>714</v>
      </c>
      <c r="E382" s="3">
        <v>44562</v>
      </c>
      <c r="G382" t="s">
        <v>710</v>
      </c>
      <c r="H382" t="s">
        <v>711</v>
      </c>
    </row>
    <row r="383" spans="1:9" x14ac:dyDescent="0.25">
      <c r="A383" t="s">
        <v>12</v>
      </c>
      <c r="B383" t="str">
        <f>"49059000      "</f>
        <v xml:space="preserve">49059000      </v>
      </c>
      <c r="C383" t="s">
        <v>715</v>
      </c>
      <c r="D383" t="s">
        <v>16</v>
      </c>
      <c r="E383" s="3">
        <v>44562</v>
      </c>
      <c r="G383" t="s">
        <v>710</v>
      </c>
      <c r="H383" t="s">
        <v>711</v>
      </c>
      <c r="I383" t="s">
        <v>337</v>
      </c>
    </row>
    <row r="384" spans="1:9" x14ac:dyDescent="0.25">
      <c r="A384" t="s">
        <v>2</v>
      </c>
      <c r="B384" t="str">
        <f>"49059100      "</f>
        <v xml:space="preserve">49059100      </v>
      </c>
      <c r="C384" t="s">
        <v>716</v>
      </c>
      <c r="E384" s="3">
        <v>41122</v>
      </c>
      <c r="F384" s="3">
        <v>44562</v>
      </c>
      <c r="G384" t="s">
        <v>710</v>
      </c>
      <c r="H384" t="s">
        <v>711</v>
      </c>
      <c r="I384" t="s">
        <v>717</v>
      </c>
    </row>
    <row r="385" spans="1:9" x14ac:dyDescent="0.25">
      <c r="A385" t="s">
        <v>2</v>
      </c>
      <c r="B385" t="str">
        <f>"49059900      "</f>
        <v xml:space="preserve">49059900      </v>
      </c>
      <c r="C385" t="s">
        <v>718</v>
      </c>
      <c r="E385" s="3">
        <v>41122</v>
      </c>
      <c r="F385" s="3">
        <v>44562</v>
      </c>
      <c r="G385" t="s">
        <v>710</v>
      </c>
      <c r="H385" t="s">
        <v>711</v>
      </c>
      <c r="I385" t="s">
        <v>642</v>
      </c>
    </row>
    <row r="386" spans="1:9" x14ac:dyDescent="0.25">
      <c r="A386" t="s">
        <v>2</v>
      </c>
      <c r="B386" t="str">
        <f>"55011000      "</f>
        <v xml:space="preserve">55011000      </v>
      </c>
      <c r="C386" t="s">
        <v>719</v>
      </c>
      <c r="E386" s="3">
        <v>41122</v>
      </c>
      <c r="F386" s="3">
        <v>44562</v>
      </c>
      <c r="G386" t="s">
        <v>720</v>
      </c>
      <c r="H386" t="s">
        <v>721</v>
      </c>
      <c r="I386" t="s">
        <v>722</v>
      </c>
    </row>
    <row r="387" spans="1:9" x14ac:dyDescent="0.25">
      <c r="A387" t="s">
        <v>12</v>
      </c>
      <c r="B387" t="str">
        <f>"55011100      "</f>
        <v xml:space="preserve">55011100      </v>
      </c>
      <c r="C387" t="s">
        <v>723</v>
      </c>
      <c r="D387" t="s">
        <v>724</v>
      </c>
      <c r="E387" s="3">
        <v>44562</v>
      </c>
      <c r="G387" t="s">
        <v>720</v>
      </c>
      <c r="H387" t="s">
        <v>721</v>
      </c>
    </row>
    <row r="388" spans="1:9" x14ac:dyDescent="0.25">
      <c r="A388" t="s">
        <v>12</v>
      </c>
      <c r="B388" t="str">
        <f>"55011900      "</f>
        <v xml:space="preserve">55011900      </v>
      </c>
      <c r="C388" t="s">
        <v>725</v>
      </c>
      <c r="D388" t="s">
        <v>726</v>
      </c>
      <c r="E388" s="3">
        <v>44562</v>
      </c>
      <c r="G388" t="s">
        <v>720</v>
      </c>
      <c r="H388" t="s">
        <v>721</v>
      </c>
    </row>
    <row r="389" spans="1:9" x14ac:dyDescent="0.25">
      <c r="A389" t="s">
        <v>2</v>
      </c>
      <c r="B389" t="str">
        <f>"57032012      "</f>
        <v xml:space="preserve">57032012      </v>
      </c>
      <c r="C389" t="s">
        <v>727</v>
      </c>
      <c r="E389" s="3">
        <v>41122</v>
      </c>
      <c r="F389" s="3">
        <v>44562</v>
      </c>
      <c r="G389" t="s">
        <v>728</v>
      </c>
      <c r="H389" t="s">
        <v>729</v>
      </c>
      <c r="I389" t="s">
        <v>722</v>
      </c>
    </row>
    <row r="390" spans="1:9" x14ac:dyDescent="0.25">
      <c r="A390" t="s">
        <v>2</v>
      </c>
      <c r="B390" t="str">
        <f>"57032018      "</f>
        <v xml:space="preserve">57032018      </v>
      </c>
      <c r="C390" t="s">
        <v>730</v>
      </c>
      <c r="E390" s="3">
        <v>41122</v>
      </c>
      <c r="F390" s="3">
        <v>44562</v>
      </c>
      <c r="G390" t="s">
        <v>728</v>
      </c>
      <c r="H390" t="s">
        <v>729</v>
      </c>
      <c r="I390" t="s">
        <v>722</v>
      </c>
    </row>
    <row r="391" spans="1:9" x14ac:dyDescent="0.25">
      <c r="A391" t="s">
        <v>2</v>
      </c>
      <c r="B391" t="str">
        <f>"57032092      "</f>
        <v xml:space="preserve">57032092      </v>
      </c>
      <c r="C391" t="s">
        <v>731</v>
      </c>
      <c r="E391" s="3">
        <v>41122</v>
      </c>
      <c r="F391" s="3">
        <v>44562</v>
      </c>
      <c r="G391" t="s">
        <v>728</v>
      </c>
      <c r="H391" t="s">
        <v>729</v>
      </c>
      <c r="I391" t="s">
        <v>722</v>
      </c>
    </row>
    <row r="392" spans="1:9" x14ac:dyDescent="0.25">
      <c r="A392" t="s">
        <v>2</v>
      </c>
      <c r="B392" t="str">
        <f>"57032098      "</f>
        <v xml:space="preserve">57032098      </v>
      </c>
      <c r="C392" t="s">
        <v>732</v>
      </c>
      <c r="E392" s="3">
        <v>41122</v>
      </c>
      <c r="F392" s="3">
        <v>44562</v>
      </c>
      <c r="G392" t="s">
        <v>728</v>
      </c>
      <c r="H392" t="s">
        <v>729</v>
      </c>
      <c r="I392" t="s">
        <v>722</v>
      </c>
    </row>
    <row r="393" spans="1:9" x14ac:dyDescent="0.25">
      <c r="A393" t="s">
        <v>12</v>
      </c>
      <c r="B393" t="str">
        <f>"57032100      "</f>
        <v xml:space="preserve">57032100      </v>
      </c>
      <c r="C393" t="s">
        <v>733</v>
      </c>
      <c r="D393" t="s">
        <v>734</v>
      </c>
      <c r="E393" s="3">
        <v>44562</v>
      </c>
      <c r="G393" t="s">
        <v>728</v>
      </c>
      <c r="H393" t="s">
        <v>729</v>
      </c>
    </row>
    <row r="394" spans="1:9" x14ac:dyDescent="0.25">
      <c r="A394" t="s">
        <v>12</v>
      </c>
      <c r="B394" t="str">
        <f>"57032910      "</f>
        <v xml:space="preserve">57032910      </v>
      </c>
      <c r="C394" t="s">
        <v>735</v>
      </c>
      <c r="D394" t="s">
        <v>736</v>
      </c>
      <c r="E394" s="3">
        <v>44562</v>
      </c>
      <c r="G394" t="s">
        <v>728</v>
      </c>
      <c r="H394" t="s">
        <v>729</v>
      </c>
    </row>
    <row r="395" spans="1:9" x14ac:dyDescent="0.25">
      <c r="A395" t="s">
        <v>12</v>
      </c>
      <c r="B395" t="str">
        <f>"57032919      "</f>
        <v xml:space="preserve">57032919      </v>
      </c>
      <c r="C395" t="s">
        <v>737</v>
      </c>
      <c r="D395" t="s">
        <v>738</v>
      </c>
      <c r="E395" s="3">
        <v>44562</v>
      </c>
      <c r="G395" t="s">
        <v>728</v>
      </c>
      <c r="H395" t="s">
        <v>729</v>
      </c>
    </row>
    <row r="396" spans="1:9" x14ac:dyDescent="0.25">
      <c r="A396" t="s">
        <v>12</v>
      </c>
      <c r="B396" t="str">
        <f>"57032991      "</f>
        <v xml:space="preserve">57032991      </v>
      </c>
      <c r="C396" t="s">
        <v>739</v>
      </c>
      <c r="D396" t="s">
        <v>740</v>
      </c>
      <c r="E396" s="3">
        <v>44562</v>
      </c>
      <c r="G396" t="s">
        <v>728</v>
      </c>
      <c r="H396" t="s">
        <v>729</v>
      </c>
    </row>
    <row r="397" spans="1:9" x14ac:dyDescent="0.25">
      <c r="A397" t="s">
        <v>12</v>
      </c>
      <c r="B397" t="str">
        <f>"57032999      "</f>
        <v xml:space="preserve">57032999      </v>
      </c>
      <c r="C397" t="s">
        <v>741</v>
      </c>
      <c r="D397" t="s">
        <v>78</v>
      </c>
      <c r="E397" s="3">
        <v>44562</v>
      </c>
      <c r="G397" t="s">
        <v>728</v>
      </c>
      <c r="H397" t="s">
        <v>729</v>
      </c>
    </row>
    <row r="398" spans="1:9" x14ac:dyDescent="0.25">
      <c r="A398" t="s">
        <v>2</v>
      </c>
      <c r="B398" t="str">
        <f>"57033012      "</f>
        <v xml:space="preserve">57033012      </v>
      </c>
      <c r="C398" t="s">
        <v>742</v>
      </c>
      <c r="E398" s="3">
        <v>41122</v>
      </c>
      <c r="F398" s="3">
        <v>44562</v>
      </c>
      <c r="G398" t="s">
        <v>728</v>
      </c>
      <c r="H398" t="s">
        <v>729</v>
      </c>
      <c r="I398" t="s">
        <v>743</v>
      </c>
    </row>
    <row r="399" spans="1:9" x14ac:dyDescent="0.25">
      <c r="A399" t="s">
        <v>2</v>
      </c>
      <c r="B399" t="str">
        <f>"57033018      "</f>
        <v xml:space="preserve">57033018      </v>
      </c>
      <c r="C399" t="s">
        <v>744</v>
      </c>
      <c r="E399" s="3">
        <v>41122</v>
      </c>
      <c r="F399" s="3">
        <v>44562</v>
      </c>
      <c r="G399" t="s">
        <v>728</v>
      </c>
      <c r="H399" t="s">
        <v>729</v>
      </c>
      <c r="I399" t="s">
        <v>743</v>
      </c>
    </row>
    <row r="400" spans="1:9" x14ac:dyDescent="0.25">
      <c r="A400" t="s">
        <v>2</v>
      </c>
      <c r="B400" t="str">
        <f>"57033082      "</f>
        <v xml:space="preserve">57033082      </v>
      </c>
      <c r="C400" t="s">
        <v>745</v>
      </c>
      <c r="E400" s="3">
        <v>41122</v>
      </c>
      <c r="F400" s="3">
        <v>44562</v>
      </c>
      <c r="G400" t="s">
        <v>728</v>
      </c>
      <c r="H400" t="s">
        <v>729</v>
      </c>
      <c r="I400" t="s">
        <v>743</v>
      </c>
    </row>
    <row r="401" spans="1:9" x14ac:dyDescent="0.25">
      <c r="A401" t="s">
        <v>2</v>
      </c>
      <c r="B401" t="str">
        <f>"57033088      "</f>
        <v xml:space="preserve">57033088      </v>
      </c>
      <c r="C401" t="s">
        <v>746</v>
      </c>
      <c r="E401" s="3">
        <v>41122</v>
      </c>
      <c r="F401" s="3">
        <v>44562</v>
      </c>
      <c r="G401" t="s">
        <v>728</v>
      </c>
      <c r="H401" t="s">
        <v>729</v>
      </c>
      <c r="I401" t="s">
        <v>743</v>
      </c>
    </row>
    <row r="402" spans="1:9" x14ac:dyDescent="0.25">
      <c r="A402" t="s">
        <v>12</v>
      </c>
      <c r="B402" t="str">
        <f>"57033100      "</f>
        <v xml:space="preserve">57033100      </v>
      </c>
      <c r="C402" t="s">
        <v>747</v>
      </c>
      <c r="D402" t="s">
        <v>748</v>
      </c>
      <c r="E402" s="3">
        <v>44562</v>
      </c>
      <c r="G402" t="s">
        <v>728</v>
      </c>
      <c r="H402" t="s">
        <v>729</v>
      </c>
    </row>
    <row r="403" spans="1:9" x14ac:dyDescent="0.25">
      <c r="A403" t="s">
        <v>12</v>
      </c>
      <c r="B403" t="str">
        <f>"57033910      "</f>
        <v xml:space="preserve">57033910      </v>
      </c>
      <c r="C403" t="s">
        <v>749</v>
      </c>
      <c r="D403" t="s">
        <v>750</v>
      </c>
      <c r="E403" s="3">
        <v>44562</v>
      </c>
      <c r="G403" t="s">
        <v>728</v>
      </c>
      <c r="H403" t="s">
        <v>729</v>
      </c>
    </row>
    <row r="404" spans="1:9" x14ac:dyDescent="0.25">
      <c r="A404" t="s">
        <v>12</v>
      </c>
      <c r="B404" t="str">
        <f>"57033919      "</f>
        <v xml:space="preserve">57033919      </v>
      </c>
      <c r="C404" t="s">
        <v>751</v>
      </c>
      <c r="D404" t="s">
        <v>752</v>
      </c>
      <c r="E404" s="3">
        <v>44562</v>
      </c>
      <c r="G404" t="s">
        <v>728</v>
      </c>
      <c r="H404" t="s">
        <v>729</v>
      </c>
    </row>
    <row r="405" spans="1:9" x14ac:dyDescent="0.25">
      <c r="A405" t="s">
        <v>12</v>
      </c>
      <c r="B405" t="str">
        <f>"57033991      "</f>
        <v xml:space="preserve">57033991      </v>
      </c>
      <c r="C405" t="s">
        <v>753</v>
      </c>
      <c r="D405" t="s">
        <v>740</v>
      </c>
      <c r="E405" s="3">
        <v>44562</v>
      </c>
      <c r="G405" t="s">
        <v>728</v>
      </c>
      <c r="H405" t="s">
        <v>729</v>
      </c>
    </row>
    <row r="406" spans="1:9" x14ac:dyDescent="0.25">
      <c r="A406" t="s">
        <v>12</v>
      </c>
      <c r="B406" t="str">
        <f>"57033999      "</f>
        <v xml:space="preserve">57033999      </v>
      </c>
      <c r="C406" t="s">
        <v>754</v>
      </c>
      <c r="D406" t="s">
        <v>78</v>
      </c>
      <c r="E406" s="3">
        <v>44562</v>
      </c>
      <c r="G406" t="s">
        <v>728</v>
      </c>
      <c r="H406" t="s">
        <v>729</v>
      </c>
    </row>
    <row r="407" spans="1:9" x14ac:dyDescent="0.25">
      <c r="A407" t="s">
        <v>12</v>
      </c>
      <c r="B407" t="str">
        <f>"58021000      "</f>
        <v xml:space="preserve">58021000      </v>
      </c>
      <c r="C407" t="s">
        <v>755</v>
      </c>
      <c r="D407" t="s">
        <v>756</v>
      </c>
      <c r="E407" s="3">
        <v>44562</v>
      </c>
      <c r="G407" t="s">
        <v>757</v>
      </c>
      <c r="H407" t="s">
        <v>758</v>
      </c>
      <c r="I407" t="s">
        <v>759</v>
      </c>
    </row>
    <row r="408" spans="1:9" x14ac:dyDescent="0.25">
      <c r="A408" t="s">
        <v>2</v>
      </c>
      <c r="B408" t="str">
        <f>"58021100      "</f>
        <v xml:space="preserve">58021100      </v>
      </c>
      <c r="C408" t="s">
        <v>760</v>
      </c>
      <c r="E408" s="3">
        <v>41122</v>
      </c>
      <c r="F408" s="3">
        <v>44562</v>
      </c>
      <c r="G408" t="s">
        <v>757</v>
      </c>
      <c r="H408" t="s">
        <v>758</v>
      </c>
      <c r="I408" t="s">
        <v>761</v>
      </c>
    </row>
    <row r="409" spans="1:9" x14ac:dyDescent="0.25">
      <c r="A409" t="s">
        <v>2</v>
      </c>
      <c r="B409" t="str">
        <f>"58021900      "</f>
        <v xml:space="preserve">58021900      </v>
      </c>
      <c r="C409" t="s">
        <v>762</v>
      </c>
      <c r="E409" s="3">
        <v>41122</v>
      </c>
      <c r="F409" s="3">
        <v>44562</v>
      </c>
      <c r="G409" t="s">
        <v>757</v>
      </c>
      <c r="H409" t="s">
        <v>758</v>
      </c>
      <c r="I409" t="s">
        <v>763</v>
      </c>
    </row>
    <row r="410" spans="1:9" x14ac:dyDescent="0.25">
      <c r="A410" t="s">
        <v>2</v>
      </c>
      <c r="B410" t="str">
        <f>"62011100      "</f>
        <v xml:space="preserve">62011100      </v>
      </c>
      <c r="C410" t="s">
        <v>764</v>
      </c>
      <c r="E410" s="3">
        <v>41122</v>
      </c>
      <c r="F410" s="3">
        <v>44562</v>
      </c>
      <c r="G410" t="s">
        <v>765</v>
      </c>
      <c r="H410" t="s">
        <v>766</v>
      </c>
      <c r="I410" t="s">
        <v>767</v>
      </c>
    </row>
    <row r="411" spans="1:9" x14ac:dyDescent="0.25">
      <c r="A411" t="s">
        <v>2</v>
      </c>
      <c r="B411" t="str">
        <f>"62011210      "</f>
        <v xml:space="preserve">62011210      </v>
      </c>
      <c r="C411" t="s">
        <v>768</v>
      </c>
      <c r="E411" s="3">
        <v>41122</v>
      </c>
      <c r="F411" s="3">
        <v>44562</v>
      </c>
      <c r="G411" t="s">
        <v>765</v>
      </c>
      <c r="H411" t="s">
        <v>766</v>
      </c>
      <c r="I411" t="s">
        <v>769</v>
      </c>
    </row>
    <row r="412" spans="1:9" x14ac:dyDescent="0.25">
      <c r="A412" t="s">
        <v>2</v>
      </c>
      <c r="B412" t="str">
        <f>"62011290      "</f>
        <v xml:space="preserve">62011290      </v>
      </c>
      <c r="C412" t="s">
        <v>770</v>
      </c>
      <c r="E412" s="3">
        <v>41122</v>
      </c>
      <c r="F412" s="3">
        <v>44562</v>
      </c>
      <c r="G412" t="s">
        <v>765</v>
      </c>
      <c r="H412" t="s">
        <v>766</v>
      </c>
      <c r="I412" t="s">
        <v>769</v>
      </c>
    </row>
    <row r="413" spans="1:9" x14ac:dyDescent="0.25">
      <c r="A413" t="s">
        <v>2</v>
      </c>
      <c r="B413" t="str">
        <f>"62011310      "</f>
        <v xml:space="preserve">62011310      </v>
      </c>
      <c r="C413" t="s">
        <v>771</v>
      </c>
      <c r="E413" s="3">
        <v>41122</v>
      </c>
      <c r="F413" s="3">
        <v>44562</v>
      </c>
      <c r="G413" t="s">
        <v>765</v>
      </c>
      <c r="H413" t="s">
        <v>766</v>
      </c>
      <c r="I413" t="s">
        <v>772</v>
      </c>
    </row>
    <row r="414" spans="1:9" x14ac:dyDescent="0.25">
      <c r="A414" t="s">
        <v>2</v>
      </c>
      <c r="B414" t="str">
        <f>"62011390      "</f>
        <v xml:space="preserve">62011390      </v>
      </c>
      <c r="C414" t="s">
        <v>773</v>
      </c>
      <c r="E414" s="3">
        <v>41122</v>
      </c>
      <c r="F414" s="3">
        <v>44562</v>
      </c>
      <c r="G414" t="s">
        <v>765</v>
      </c>
      <c r="H414" t="s">
        <v>766</v>
      </c>
      <c r="I414" t="s">
        <v>772</v>
      </c>
    </row>
    <row r="415" spans="1:9" x14ac:dyDescent="0.25">
      <c r="A415" t="s">
        <v>2</v>
      </c>
      <c r="B415" t="str">
        <f>"62011900      "</f>
        <v xml:space="preserve">62011900      </v>
      </c>
      <c r="C415" t="s">
        <v>774</v>
      </c>
      <c r="E415" s="3">
        <v>41122</v>
      </c>
      <c r="F415" s="3">
        <v>44562</v>
      </c>
      <c r="G415" t="s">
        <v>765</v>
      </c>
      <c r="H415" t="s">
        <v>766</v>
      </c>
      <c r="I415" t="s">
        <v>775</v>
      </c>
    </row>
    <row r="416" spans="1:9" x14ac:dyDescent="0.25">
      <c r="A416" t="s">
        <v>12</v>
      </c>
      <c r="B416" t="str">
        <f>"62012000      "</f>
        <v xml:space="preserve">62012000      </v>
      </c>
      <c r="C416" t="s">
        <v>776</v>
      </c>
      <c r="D416" t="s">
        <v>777</v>
      </c>
      <c r="E416" s="3">
        <v>44562</v>
      </c>
      <c r="G416" t="s">
        <v>765</v>
      </c>
      <c r="H416" t="s">
        <v>766</v>
      </c>
    </row>
    <row r="417" spans="1:9" x14ac:dyDescent="0.25">
      <c r="A417" t="s">
        <v>12</v>
      </c>
      <c r="B417" t="str">
        <f>"62013010      "</f>
        <v xml:space="preserve">62013010      </v>
      </c>
      <c r="C417" t="s">
        <v>778</v>
      </c>
      <c r="D417" t="s">
        <v>779</v>
      </c>
      <c r="E417" s="3">
        <v>44562</v>
      </c>
      <c r="G417" t="s">
        <v>765</v>
      </c>
      <c r="H417" t="s">
        <v>766</v>
      </c>
    </row>
    <row r="418" spans="1:9" x14ac:dyDescent="0.25">
      <c r="A418" t="s">
        <v>12</v>
      </c>
      <c r="B418" t="str">
        <f>"62013090      "</f>
        <v xml:space="preserve">62013090      </v>
      </c>
      <c r="C418" t="s">
        <v>780</v>
      </c>
      <c r="D418" t="s">
        <v>781</v>
      </c>
      <c r="E418" s="3">
        <v>44562</v>
      </c>
      <c r="G418" t="s">
        <v>765</v>
      </c>
      <c r="H418" t="s">
        <v>766</v>
      </c>
    </row>
    <row r="419" spans="1:9" x14ac:dyDescent="0.25">
      <c r="A419" t="s">
        <v>12</v>
      </c>
      <c r="B419" t="str">
        <f>"62014010      "</f>
        <v xml:space="preserve">62014010      </v>
      </c>
      <c r="C419" t="s">
        <v>782</v>
      </c>
      <c r="D419" t="s">
        <v>779</v>
      </c>
      <c r="E419" s="3">
        <v>44562</v>
      </c>
      <c r="G419" t="s">
        <v>765</v>
      </c>
      <c r="H419" t="s">
        <v>766</v>
      </c>
    </row>
    <row r="420" spans="1:9" x14ac:dyDescent="0.25">
      <c r="A420" t="s">
        <v>12</v>
      </c>
      <c r="B420" t="str">
        <f>"62014090      "</f>
        <v xml:space="preserve">62014090      </v>
      </c>
      <c r="C420" t="s">
        <v>783</v>
      </c>
      <c r="D420" t="s">
        <v>781</v>
      </c>
      <c r="E420" s="3">
        <v>44562</v>
      </c>
      <c r="G420" t="s">
        <v>765</v>
      </c>
      <c r="H420" t="s">
        <v>766</v>
      </c>
    </row>
    <row r="421" spans="1:9" x14ac:dyDescent="0.25">
      <c r="A421" t="s">
        <v>12</v>
      </c>
      <c r="B421" t="str">
        <f>"62019000      "</f>
        <v xml:space="preserve">62019000      </v>
      </c>
      <c r="C421" t="s">
        <v>784</v>
      </c>
      <c r="D421" t="s">
        <v>785</v>
      </c>
      <c r="E421" s="3">
        <v>44562</v>
      </c>
      <c r="G421" t="s">
        <v>765</v>
      </c>
      <c r="H421" t="s">
        <v>766</v>
      </c>
      <c r="I421" t="s">
        <v>337</v>
      </c>
    </row>
    <row r="422" spans="1:9" x14ac:dyDescent="0.25">
      <c r="A422" t="s">
        <v>2</v>
      </c>
      <c r="B422" t="str">
        <f>"62019100      "</f>
        <v xml:space="preserve">62019100      </v>
      </c>
      <c r="C422" t="s">
        <v>786</v>
      </c>
      <c r="E422" s="3">
        <v>41122</v>
      </c>
      <c r="F422" s="3">
        <v>44562</v>
      </c>
      <c r="G422" t="s">
        <v>765</v>
      </c>
      <c r="H422" t="s">
        <v>766</v>
      </c>
      <c r="I422" t="s">
        <v>787</v>
      </c>
    </row>
    <row r="423" spans="1:9" x14ac:dyDescent="0.25">
      <c r="A423" t="s">
        <v>2</v>
      </c>
      <c r="B423" t="str">
        <f>"62019200      "</f>
        <v xml:space="preserve">62019200      </v>
      </c>
      <c r="C423" t="s">
        <v>788</v>
      </c>
      <c r="E423" s="3">
        <v>41122</v>
      </c>
      <c r="F423" s="3">
        <v>44562</v>
      </c>
      <c r="G423" t="s">
        <v>765</v>
      </c>
      <c r="H423" t="s">
        <v>766</v>
      </c>
      <c r="I423" t="s">
        <v>789</v>
      </c>
    </row>
    <row r="424" spans="1:9" x14ac:dyDescent="0.25">
      <c r="A424" t="s">
        <v>2</v>
      </c>
      <c r="B424" t="str">
        <f>"62019300      "</f>
        <v xml:space="preserve">62019300      </v>
      </c>
      <c r="C424" t="s">
        <v>790</v>
      </c>
      <c r="E424" s="3">
        <v>41122</v>
      </c>
      <c r="F424" s="3">
        <v>44562</v>
      </c>
      <c r="G424" t="s">
        <v>765</v>
      </c>
      <c r="H424" t="s">
        <v>766</v>
      </c>
      <c r="I424" t="s">
        <v>791</v>
      </c>
    </row>
    <row r="425" spans="1:9" x14ac:dyDescent="0.25">
      <c r="A425" t="s">
        <v>2</v>
      </c>
      <c r="B425" t="str">
        <f>"62019900      "</f>
        <v xml:space="preserve">62019900      </v>
      </c>
      <c r="C425" t="s">
        <v>792</v>
      </c>
      <c r="E425" s="3">
        <v>41122</v>
      </c>
      <c r="F425" s="3">
        <v>44562</v>
      </c>
      <c r="G425" t="s">
        <v>765</v>
      </c>
      <c r="H425" t="s">
        <v>766</v>
      </c>
      <c r="I425" t="s">
        <v>793</v>
      </c>
    </row>
    <row r="426" spans="1:9" x14ac:dyDescent="0.25">
      <c r="A426" t="s">
        <v>2</v>
      </c>
      <c r="B426" t="str">
        <f>"62021100      "</f>
        <v xml:space="preserve">62021100      </v>
      </c>
      <c r="C426" t="s">
        <v>794</v>
      </c>
      <c r="E426" s="3">
        <v>41122</v>
      </c>
      <c r="F426" s="3">
        <v>44562</v>
      </c>
      <c r="G426" t="s">
        <v>765</v>
      </c>
      <c r="H426" t="s">
        <v>795</v>
      </c>
      <c r="I426" t="s">
        <v>767</v>
      </c>
    </row>
    <row r="427" spans="1:9" x14ac:dyDescent="0.25">
      <c r="A427" t="s">
        <v>2</v>
      </c>
      <c r="B427" t="str">
        <f>"62021210      "</f>
        <v xml:space="preserve">62021210      </v>
      </c>
      <c r="C427" t="s">
        <v>796</v>
      </c>
      <c r="E427" s="3">
        <v>41122</v>
      </c>
      <c r="F427" s="3">
        <v>44562</v>
      </c>
      <c r="G427" t="s">
        <v>765</v>
      </c>
      <c r="H427" t="s">
        <v>795</v>
      </c>
      <c r="I427" t="s">
        <v>769</v>
      </c>
    </row>
    <row r="428" spans="1:9" x14ac:dyDescent="0.25">
      <c r="A428" t="s">
        <v>2</v>
      </c>
      <c r="B428" t="str">
        <f>"62021290      "</f>
        <v xml:space="preserve">62021290      </v>
      </c>
      <c r="C428" t="s">
        <v>797</v>
      </c>
      <c r="E428" s="3">
        <v>41122</v>
      </c>
      <c r="F428" s="3">
        <v>44562</v>
      </c>
      <c r="G428" t="s">
        <v>765</v>
      </c>
      <c r="H428" t="s">
        <v>795</v>
      </c>
      <c r="I428" t="s">
        <v>769</v>
      </c>
    </row>
    <row r="429" spans="1:9" x14ac:dyDescent="0.25">
      <c r="A429" t="s">
        <v>2</v>
      </c>
      <c r="B429" t="str">
        <f>"62021310      "</f>
        <v xml:space="preserve">62021310      </v>
      </c>
      <c r="C429" t="s">
        <v>798</v>
      </c>
      <c r="E429" s="3">
        <v>41122</v>
      </c>
      <c r="F429" s="3">
        <v>44562</v>
      </c>
      <c r="G429" t="s">
        <v>765</v>
      </c>
      <c r="H429" t="s">
        <v>795</v>
      </c>
      <c r="I429" t="s">
        <v>772</v>
      </c>
    </row>
    <row r="430" spans="1:9" x14ac:dyDescent="0.25">
      <c r="A430" t="s">
        <v>2</v>
      </c>
      <c r="B430" t="str">
        <f>"62021390      "</f>
        <v xml:space="preserve">62021390      </v>
      </c>
      <c r="C430" t="s">
        <v>799</v>
      </c>
      <c r="E430" s="3">
        <v>41122</v>
      </c>
      <c r="F430" s="3">
        <v>44562</v>
      </c>
      <c r="G430" t="s">
        <v>765</v>
      </c>
      <c r="H430" t="s">
        <v>795</v>
      </c>
      <c r="I430" t="s">
        <v>772</v>
      </c>
    </row>
    <row r="431" spans="1:9" x14ac:dyDescent="0.25">
      <c r="A431" t="s">
        <v>2</v>
      </c>
      <c r="B431" t="str">
        <f>"62021900      "</f>
        <v xml:space="preserve">62021900      </v>
      </c>
      <c r="C431" t="s">
        <v>800</v>
      </c>
      <c r="E431" s="3">
        <v>41122</v>
      </c>
      <c r="F431" s="3">
        <v>44562</v>
      </c>
      <c r="G431" t="s">
        <v>765</v>
      </c>
      <c r="H431" t="s">
        <v>795</v>
      </c>
      <c r="I431" t="s">
        <v>775</v>
      </c>
    </row>
    <row r="432" spans="1:9" x14ac:dyDescent="0.25">
      <c r="A432" t="s">
        <v>12</v>
      </c>
      <c r="B432" t="str">
        <f>"62022000      "</f>
        <v xml:space="preserve">62022000      </v>
      </c>
      <c r="C432" t="s">
        <v>801</v>
      </c>
      <c r="D432" t="s">
        <v>777</v>
      </c>
      <c r="E432" s="3">
        <v>44562</v>
      </c>
      <c r="G432" t="s">
        <v>765</v>
      </c>
      <c r="H432" t="s">
        <v>795</v>
      </c>
    </row>
    <row r="433" spans="1:9" x14ac:dyDescent="0.25">
      <c r="A433" t="s">
        <v>12</v>
      </c>
      <c r="B433" t="str">
        <f>"62023010      "</f>
        <v xml:space="preserve">62023010      </v>
      </c>
      <c r="C433" t="s">
        <v>802</v>
      </c>
      <c r="D433" t="s">
        <v>779</v>
      </c>
      <c r="E433" s="3">
        <v>44562</v>
      </c>
      <c r="G433" t="s">
        <v>765</v>
      </c>
      <c r="H433" t="s">
        <v>795</v>
      </c>
    </row>
    <row r="434" spans="1:9" x14ac:dyDescent="0.25">
      <c r="A434" t="s">
        <v>12</v>
      </c>
      <c r="B434" t="str">
        <f>"62023090      "</f>
        <v xml:space="preserve">62023090      </v>
      </c>
      <c r="C434" t="s">
        <v>803</v>
      </c>
      <c r="D434" t="s">
        <v>781</v>
      </c>
      <c r="E434" s="3">
        <v>44562</v>
      </c>
      <c r="G434" t="s">
        <v>765</v>
      </c>
      <c r="H434" t="s">
        <v>795</v>
      </c>
    </row>
    <row r="435" spans="1:9" x14ac:dyDescent="0.25">
      <c r="A435" t="s">
        <v>12</v>
      </c>
      <c r="B435" t="str">
        <f>"62024010      "</f>
        <v xml:space="preserve">62024010      </v>
      </c>
      <c r="C435" t="s">
        <v>804</v>
      </c>
      <c r="D435" t="s">
        <v>779</v>
      </c>
      <c r="E435" s="3">
        <v>44562</v>
      </c>
      <c r="G435" t="s">
        <v>765</v>
      </c>
      <c r="H435" t="s">
        <v>795</v>
      </c>
    </row>
    <row r="436" spans="1:9" x14ac:dyDescent="0.25">
      <c r="A436" t="s">
        <v>12</v>
      </c>
      <c r="B436" t="str">
        <f>"62024090      "</f>
        <v xml:space="preserve">62024090      </v>
      </c>
      <c r="C436" t="s">
        <v>805</v>
      </c>
      <c r="D436" t="s">
        <v>781</v>
      </c>
      <c r="E436" s="3">
        <v>44562</v>
      </c>
      <c r="G436" t="s">
        <v>765</v>
      </c>
      <c r="H436" t="s">
        <v>795</v>
      </c>
    </row>
    <row r="437" spans="1:9" x14ac:dyDescent="0.25">
      <c r="A437" t="s">
        <v>12</v>
      </c>
      <c r="B437" t="str">
        <f>"62029000      "</f>
        <v xml:space="preserve">62029000      </v>
      </c>
      <c r="C437" t="s">
        <v>806</v>
      </c>
      <c r="D437" t="s">
        <v>785</v>
      </c>
      <c r="E437" s="3">
        <v>44562</v>
      </c>
      <c r="G437" t="s">
        <v>765</v>
      </c>
      <c r="H437" t="s">
        <v>795</v>
      </c>
      <c r="I437" t="s">
        <v>337</v>
      </c>
    </row>
    <row r="438" spans="1:9" x14ac:dyDescent="0.25">
      <c r="A438" t="s">
        <v>2</v>
      </c>
      <c r="B438" t="str">
        <f>"62029100      "</f>
        <v xml:space="preserve">62029100      </v>
      </c>
      <c r="C438" t="s">
        <v>807</v>
      </c>
      <c r="E438" s="3">
        <v>41122</v>
      </c>
      <c r="F438" s="3">
        <v>44562</v>
      </c>
      <c r="G438" t="s">
        <v>765</v>
      </c>
      <c r="H438" t="s">
        <v>795</v>
      </c>
      <c r="I438" t="s">
        <v>787</v>
      </c>
    </row>
    <row r="439" spans="1:9" x14ac:dyDescent="0.25">
      <c r="A439" t="s">
        <v>2</v>
      </c>
      <c r="B439" t="str">
        <f>"62029200      "</f>
        <v xml:space="preserve">62029200      </v>
      </c>
      <c r="C439" t="s">
        <v>808</v>
      </c>
      <c r="E439" s="3">
        <v>41122</v>
      </c>
      <c r="F439" s="3">
        <v>44562</v>
      </c>
      <c r="G439" t="s">
        <v>765</v>
      </c>
      <c r="H439" t="s">
        <v>795</v>
      </c>
      <c r="I439" t="s">
        <v>789</v>
      </c>
    </row>
    <row r="440" spans="1:9" x14ac:dyDescent="0.25">
      <c r="A440" t="s">
        <v>2</v>
      </c>
      <c r="B440" t="str">
        <f>"62029300      "</f>
        <v xml:space="preserve">62029300      </v>
      </c>
      <c r="C440" t="s">
        <v>809</v>
      </c>
      <c r="E440" s="3">
        <v>41122</v>
      </c>
      <c r="F440" s="3">
        <v>44562</v>
      </c>
      <c r="G440" t="s">
        <v>765</v>
      </c>
      <c r="H440" t="s">
        <v>795</v>
      </c>
      <c r="I440" t="s">
        <v>791</v>
      </c>
    </row>
    <row r="441" spans="1:9" x14ac:dyDescent="0.25">
      <c r="A441" t="s">
        <v>2</v>
      </c>
      <c r="B441" t="str">
        <f>"62029900      "</f>
        <v xml:space="preserve">62029900      </v>
      </c>
      <c r="C441" t="s">
        <v>810</v>
      </c>
      <c r="E441" s="3">
        <v>41122</v>
      </c>
      <c r="F441" s="3">
        <v>44562</v>
      </c>
      <c r="G441" t="s">
        <v>765</v>
      </c>
      <c r="H441" t="s">
        <v>795</v>
      </c>
      <c r="I441" t="s">
        <v>793</v>
      </c>
    </row>
    <row r="442" spans="1:9" x14ac:dyDescent="0.25">
      <c r="A442" t="s">
        <v>2</v>
      </c>
      <c r="B442" t="str">
        <f>"68129200      "</f>
        <v xml:space="preserve">68129200      </v>
      </c>
      <c r="C442" t="s">
        <v>811</v>
      </c>
      <c r="E442" s="3">
        <v>41122</v>
      </c>
      <c r="F442" s="3">
        <v>44562</v>
      </c>
      <c r="G442" t="s">
        <v>812</v>
      </c>
      <c r="H442" t="s">
        <v>813</v>
      </c>
      <c r="I442" t="s">
        <v>814</v>
      </c>
    </row>
    <row r="443" spans="1:9" x14ac:dyDescent="0.25">
      <c r="A443" t="s">
        <v>2</v>
      </c>
      <c r="B443" t="str">
        <f>"68129300      "</f>
        <v xml:space="preserve">68129300      </v>
      </c>
      <c r="C443" t="s">
        <v>815</v>
      </c>
      <c r="E443" s="3">
        <v>41122</v>
      </c>
      <c r="F443" s="3">
        <v>44562</v>
      </c>
      <c r="G443" t="s">
        <v>812</v>
      </c>
      <c r="H443" t="s">
        <v>813</v>
      </c>
      <c r="I443" t="s">
        <v>816</v>
      </c>
    </row>
    <row r="444" spans="1:9" x14ac:dyDescent="0.25">
      <c r="A444" t="s">
        <v>2</v>
      </c>
      <c r="B444" t="str">
        <f>"68151010      "</f>
        <v xml:space="preserve">68151010      </v>
      </c>
      <c r="C444" t="s">
        <v>817</v>
      </c>
      <c r="E444" s="3">
        <v>41122</v>
      </c>
      <c r="F444" s="3">
        <v>44562</v>
      </c>
      <c r="G444" t="s">
        <v>812</v>
      </c>
      <c r="H444" t="s">
        <v>818</v>
      </c>
      <c r="I444" t="s">
        <v>819</v>
      </c>
    </row>
    <row r="445" spans="1:9" x14ac:dyDescent="0.25">
      <c r="A445" t="s">
        <v>2</v>
      </c>
      <c r="B445" t="str">
        <f>"68151090      "</f>
        <v xml:space="preserve">68151090      </v>
      </c>
      <c r="C445" t="s">
        <v>820</v>
      </c>
      <c r="E445" s="3">
        <v>41122</v>
      </c>
      <c r="F445" s="3">
        <v>44562</v>
      </c>
      <c r="G445" t="s">
        <v>812</v>
      </c>
      <c r="H445" t="s">
        <v>818</v>
      </c>
      <c r="I445" t="s">
        <v>819</v>
      </c>
    </row>
    <row r="446" spans="1:9" x14ac:dyDescent="0.25">
      <c r="A446" t="s">
        <v>12</v>
      </c>
      <c r="B446" t="str">
        <f>"68151100      "</f>
        <v xml:space="preserve">68151100      </v>
      </c>
      <c r="C446" t="s">
        <v>821</v>
      </c>
      <c r="D446" t="s">
        <v>822</v>
      </c>
      <c r="E446" s="3">
        <v>44562</v>
      </c>
      <c r="G446" t="s">
        <v>812</v>
      </c>
      <c r="H446" t="s">
        <v>818</v>
      </c>
    </row>
    <row r="447" spans="1:9" x14ac:dyDescent="0.25">
      <c r="A447" t="s">
        <v>12</v>
      </c>
      <c r="B447" t="str">
        <f>"68151200      "</f>
        <v xml:space="preserve">68151200      </v>
      </c>
      <c r="C447" t="s">
        <v>823</v>
      </c>
      <c r="D447" t="s">
        <v>824</v>
      </c>
      <c r="E447" s="3">
        <v>44562</v>
      </c>
      <c r="G447" t="s">
        <v>812</v>
      </c>
      <c r="H447" t="s">
        <v>818</v>
      </c>
    </row>
    <row r="448" spans="1:9" x14ac:dyDescent="0.25">
      <c r="A448" t="s">
        <v>12</v>
      </c>
      <c r="B448" t="str">
        <f>"68151300      "</f>
        <v xml:space="preserve">68151300      </v>
      </c>
      <c r="C448" t="s">
        <v>825</v>
      </c>
      <c r="D448" t="s">
        <v>826</v>
      </c>
      <c r="E448" s="3">
        <v>44562</v>
      </c>
      <c r="G448" t="s">
        <v>812</v>
      </c>
      <c r="H448" t="s">
        <v>818</v>
      </c>
    </row>
    <row r="449" spans="1:9" x14ac:dyDescent="0.25">
      <c r="A449" t="s">
        <v>12</v>
      </c>
      <c r="B449" t="str">
        <f>"68151900      "</f>
        <v xml:space="preserve">68151900      </v>
      </c>
      <c r="C449" t="s">
        <v>827</v>
      </c>
      <c r="D449" t="s">
        <v>828</v>
      </c>
      <c r="E449" s="3">
        <v>44562</v>
      </c>
      <c r="G449" t="s">
        <v>812</v>
      </c>
      <c r="H449" t="s">
        <v>818</v>
      </c>
    </row>
    <row r="450" spans="1:9" x14ac:dyDescent="0.25">
      <c r="A450" t="s">
        <v>12</v>
      </c>
      <c r="B450" t="str">
        <f>"70191300      "</f>
        <v xml:space="preserve">70191300      </v>
      </c>
      <c r="C450" t="s">
        <v>829</v>
      </c>
      <c r="D450" t="s">
        <v>830</v>
      </c>
      <c r="E450" s="3">
        <v>44562</v>
      </c>
      <c r="G450" t="s">
        <v>831</v>
      </c>
      <c r="H450" t="s">
        <v>832</v>
      </c>
      <c r="I450" t="s">
        <v>833</v>
      </c>
    </row>
    <row r="451" spans="1:9" x14ac:dyDescent="0.25">
      <c r="A451" t="s">
        <v>12</v>
      </c>
      <c r="B451" t="str">
        <f>"70191400      "</f>
        <v xml:space="preserve">70191400      </v>
      </c>
      <c r="C451" t="s">
        <v>834</v>
      </c>
      <c r="D451" t="s">
        <v>835</v>
      </c>
      <c r="E451" s="3">
        <v>44562</v>
      </c>
      <c r="G451" t="s">
        <v>831</v>
      </c>
      <c r="H451" t="s">
        <v>832</v>
      </c>
      <c r="I451" t="s">
        <v>833</v>
      </c>
    </row>
    <row r="452" spans="1:9" x14ac:dyDescent="0.25">
      <c r="A452" t="s">
        <v>12</v>
      </c>
      <c r="B452" t="str">
        <f>"70191500      "</f>
        <v xml:space="preserve">70191500      </v>
      </c>
      <c r="C452" t="s">
        <v>836</v>
      </c>
      <c r="D452" t="s">
        <v>837</v>
      </c>
      <c r="E452" s="3">
        <v>44562</v>
      </c>
      <c r="G452" t="s">
        <v>831</v>
      </c>
      <c r="H452" t="s">
        <v>832</v>
      </c>
      <c r="I452" t="s">
        <v>833</v>
      </c>
    </row>
    <row r="453" spans="1:9" x14ac:dyDescent="0.25">
      <c r="A453" t="s">
        <v>12</v>
      </c>
      <c r="B453" t="str">
        <f>"70191900      "</f>
        <v xml:space="preserve">70191900      </v>
      </c>
      <c r="C453" t="s">
        <v>838</v>
      </c>
      <c r="D453" t="s">
        <v>839</v>
      </c>
      <c r="E453" s="3">
        <v>44562</v>
      </c>
      <c r="G453" t="s">
        <v>831</v>
      </c>
      <c r="H453" t="s">
        <v>832</v>
      </c>
      <c r="I453" t="s">
        <v>840</v>
      </c>
    </row>
    <row r="454" spans="1:9" x14ac:dyDescent="0.25">
      <c r="A454" t="s">
        <v>2</v>
      </c>
      <c r="B454" t="str">
        <f>"70191910      "</f>
        <v xml:space="preserve">70191910      </v>
      </c>
      <c r="C454" t="s">
        <v>841</v>
      </c>
      <c r="E454" s="3">
        <v>41122</v>
      </c>
      <c r="F454" s="3">
        <v>44562</v>
      </c>
      <c r="G454" t="s">
        <v>831</v>
      </c>
      <c r="H454" t="s">
        <v>832</v>
      </c>
      <c r="I454" t="s">
        <v>840</v>
      </c>
    </row>
    <row r="455" spans="1:9" x14ac:dyDescent="0.25">
      <c r="A455" t="s">
        <v>2</v>
      </c>
      <c r="B455" t="str">
        <f>"70191990      "</f>
        <v xml:space="preserve">70191990      </v>
      </c>
      <c r="C455" t="s">
        <v>842</v>
      </c>
      <c r="E455" s="3">
        <v>41122</v>
      </c>
      <c r="F455" s="3">
        <v>44562</v>
      </c>
      <c r="G455" t="s">
        <v>831</v>
      </c>
      <c r="H455" t="s">
        <v>832</v>
      </c>
      <c r="I455" t="s">
        <v>840</v>
      </c>
    </row>
    <row r="456" spans="1:9" x14ac:dyDescent="0.25">
      <c r="A456" t="s">
        <v>2</v>
      </c>
      <c r="B456" t="str">
        <f>"70193100      "</f>
        <v xml:space="preserve">70193100      </v>
      </c>
      <c r="C456" t="s">
        <v>843</v>
      </c>
      <c r="E456" s="3">
        <v>41640</v>
      </c>
      <c r="F456" s="3">
        <v>44562</v>
      </c>
      <c r="G456" t="s">
        <v>831</v>
      </c>
      <c r="H456" t="s">
        <v>832</v>
      </c>
      <c r="I456" t="s">
        <v>844</v>
      </c>
    </row>
    <row r="457" spans="1:9" x14ac:dyDescent="0.25">
      <c r="A457" t="s">
        <v>2</v>
      </c>
      <c r="B457" t="str">
        <f>"70193200      "</f>
        <v xml:space="preserve">70193200      </v>
      </c>
      <c r="C457" t="s">
        <v>845</v>
      </c>
      <c r="E457" s="3">
        <v>41640</v>
      </c>
      <c r="F457" s="3">
        <v>44562</v>
      </c>
      <c r="G457" t="s">
        <v>831</v>
      </c>
      <c r="H457" t="s">
        <v>832</v>
      </c>
      <c r="I457" t="s">
        <v>846</v>
      </c>
    </row>
    <row r="458" spans="1:9" x14ac:dyDescent="0.25">
      <c r="A458" t="s">
        <v>2</v>
      </c>
      <c r="B458" t="str">
        <f>"70193900      "</f>
        <v xml:space="preserve">70193900      </v>
      </c>
      <c r="C458" t="s">
        <v>847</v>
      </c>
      <c r="E458" s="3">
        <v>41122</v>
      </c>
      <c r="F458" s="3">
        <v>44562</v>
      </c>
      <c r="G458" t="s">
        <v>831</v>
      </c>
      <c r="H458" t="s">
        <v>832</v>
      </c>
      <c r="I458" t="s">
        <v>848</v>
      </c>
    </row>
    <row r="459" spans="1:9" x14ac:dyDescent="0.25">
      <c r="A459" t="s">
        <v>2</v>
      </c>
      <c r="B459" t="str">
        <f>"70194000      "</f>
        <v xml:space="preserve">70194000      </v>
      </c>
      <c r="C459" t="s">
        <v>849</v>
      </c>
      <c r="E459" s="3">
        <v>41122</v>
      </c>
      <c r="F459" s="3">
        <v>44562</v>
      </c>
      <c r="G459" t="s">
        <v>831</v>
      </c>
      <c r="H459" t="s">
        <v>832</v>
      </c>
      <c r="I459" t="s">
        <v>850</v>
      </c>
    </row>
    <row r="460" spans="1:9" x14ac:dyDescent="0.25">
      <c r="A460" t="s">
        <v>2</v>
      </c>
      <c r="B460" t="str">
        <f>"70195100      "</f>
        <v xml:space="preserve">70195100      </v>
      </c>
      <c r="C460" t="s">
        <v>851</v>
      </c>
      <c r="E460" s="3">
        <v>41122</v>
      </c>
      <c r="F460" s="3">
        <v>44562</v>
      </c>
      <c r="G460" t="s">
        <v>831</v>
      </c>
      <c r="H460" t="s">
        <v>832</v>
      </c>
      <c r="I460" t="s">
        <v>852</v>
      </c>
    </row>
    <row r="461" spans="1:9" x14ac:dyDescent="0.25">
      <c r="A461" t="s">
        <v>2</v>
      </c>
      <c r="B461" t="str">
        <f>"70195200      "</f>
        <v xml:space="preserve">70195200      </v>
      </c>
      <c r="C461" t="s">
        <v>853</v>
      </c>
      <c r="E461" s="3">
        <v>41122</v>
      </c>
      <c r="F461" s="3">
        <v>44562</v>
      </c>
      <c r="G461" t="s">
        <v>831</v>
      </c>
      <c r="H461" t="s">
        <v>832</v>
      </c>
      <c r="I461" t="s">
        <v>854</v>
      </c>
    </row>
    <row r="462" spans="1:9" x14ac:dyDescent="0.25">
      <c r="A462" t="s">
        <v>2</v>
      </c>
      <c r="B462" t="str">
        <f>"70195900      "</f>
        <v xml:space="preserve">70195900      </v>
      </c>
      <c r="C462" t="s">
        <v>855</v>
      </c>
      <c r="E462" s="3">
        <v>41122</v>
      </c>
      <c r="F462" s="3">
        <v>44562</v>
      </c>
      <c r="G462" t="s">
        <v>831</v>
      </c>
      <c r="H462" t="s">
        <v>832</v>
      </c>
      <c r="I462" t="s">
        <v>856</v>
      </c>
    </row>
    <row r="463" spans="1:9" x14ac:dyDescent="0.25">
      <c r="A463" t="s">
        <v>12</v>
      </c>
      <c r="B463" t="str">
        <f>"70196100      "</f>
        <v xml:space="preserve">70196100      </v>
      </c>
      <c r="C463" t="s">
        <v>857</v>
      </c>
      <c r="D463" t="s">
        <v>858</v>
      </c>
      <c r="E463" s="3">
        <v>44562</v>
      </c>
      <c r="G463" t="s">
        <v>831</v>
      </c>
      <c r="H463" t="s">
        <v>832</v>
      </c>
    </row>
    <row r="464" spans="1:9" x14ac:dyDescent="0.25">
      <c r="A464" t="s">
        <v>12</v>
      </c>
      <c r="B464" t="str">
        <f>"70196200      "</f>
        <v xml:space="preserve">70196200      </v>
      </c>
      <c r="C464" t="s">
        <v>859</v>
      </c>
      <c r="D464" t="s">
        <v>860</v>
      </c>
      <c r="E464" s="3">
        <v>44562</v>
      </c>
      <c r="G464" t="s">
        <v>831</v>
      </c>
      <c r="H464" t="s">
        <v>832</v>
      </c>
    </row>
    <row r="465" spans="1:9" x14ac:dyDescent="0.25">
      <c r="A465" t="s">
        <v>12</v>
      </c>
      <c r="B465" t="str">
        <f>"70196300      "</f>
        <v xml:space="preserve">70196300      </v>
      </c>
      <c r="C465" t="s">
        <v>861</v>
      </c>
      <c r="D465" t="s">
        <v>862</v>
      </c>
      <c r="E465" s="3">
        <v>44562</v>
      </c>
      <c r="G465" t="s">
        <v>831</v>
      </c>
      <c r="H465" t="s">
        <v>832</v>
      </c>
    </row>
    <row r="466" spans="1:9" x14ac:dyDescent="0.25">
      <c r="A466" t="s">
        <v>12</v>
      </c>
      <c r="B466" t="str">
        <f>"70196400      "</f>
        <v xml:space="preserve">70196400      </v>
      </c>
      <c r="C466" t="s">
        <v>863</v>
      </c>
      <c r="D466" t="s">
        <v>864</v>
      </c>
      <c r="E466" s="3">
        <v>44562</v>
      </c>
      <c r="G466" t="s">
        <v>831</v>
      </c>
      <c r="H466" t="s">
        <v>832</v>
      </c>
    </row>
    <row r="467" spans="1:9" x14ac:dyDescent="0.25">
      <c r="A467" t="s">
        <v>12</v>
      </c>
      <c r="B467" t="str">
        <f>"70196500      "</f>
        <v xml:space="preserve">70196500      </v>
      </c>
      <c r="C467" t="s">
        <v>865</v>
      </c>
      <c r="D467" t="s">
        <v>866</v>
      </c>
      <c r="E467" s="3">
        <v>44562</v>
      </c>
      <c r="G467" t="s">
        <v>831</v>
      </c>
      <c r="H467" t="s">
        <v>832</v>
      </c>
    </row>
    <row r="468" spans="1:9" x14ac:dyDescent="0.25">
      <c r="A468" t="s">
        <v>12</v>
      </c>
      <c r="B468" t="str">
        <f>"70196600      "</f>
        <v xml:space="preserve">70196600      </v>
      </c>
      <c r="C468" t="s">
        <v>867</v>
      </c>
      <c r="D468" t="s">
        <v>868</v>
      </c>
      <c r="E468" s="3">
        <v>44562</v>
      </c>
      <c r="G468" t="s">
        <v>831</v>
      </c>
      <c r="H468" t="s">
        <v>832</v>
      </c>
    </row>
    <row r="469" spans="1:9" x14ac:dyDescent="0.25">
      <c r="A469" t="s">
        <v>12</v>
      </c>
      <c r="B469" t="str">
        <f>"70196910      "</f>
        <v xml:space="preserve">70196910      </v>
      </c>
      <c r="C469" t="s">
        <v>869</v>
      </c>
      <c r="D469" t="s">
        <v>870</v>
      </c>
      <c r="E469" s="3">
        <v>44562</v>
      </c>
      <c r="G469" t="s">
        <v>831</v>
      </c>
      <c r="H469" t="s">
        <v>832</v>
      </c>
    </row>
    <row r="470" spans="1:9" x14ac:dyDescent="0.25">
      <c r="A470" t="s">
        <v>12</v>
      </c>
      <c r="B470" t="str">
        <f>"70196990      "</f>
        <v xml:space="preserve">70196990      </v>
      </c>
      <c r="C470" t="s">
        <v>871</v>
      </c>
      <c r="D470" t="s">
        <v>16</v>
      </c>
      <c r="E470" s="3">
        <v>44562</v>
      </c>
      <c r="G470" t="s">
        <v>831</v>
      </c>
      <c r="H470" t="s">
        <v>832</v>
      </c>
    </row>
    <row r="471" spans="1:9" x14ac:dyDescent="0.25">
      <c r="A471" t="s">
        <v>12</v>
      </c>
      <c r="B471" t="str">
        <f>"70197100      "</f>
        <v xml:space="preserve">70197100      </v>
      </c>
      <c r="C471" t="s">
        <v>872</v>
      </c>
      <c r="D471" t="s">
        <v>873</v>
      </c>
      <c r="E471" s="3">
        <v>44562</v>
      </c>
      <c r="G471" t="s">
        <v>831</v>
      </c>
      <c r="H471" t="s">
        <v>832</v>
      </c>
    </row>
    <row r="472" spans="1:9" x14ac:dyDescent="0.25">
      <c r="A472" t="s">
        <v>12</v>
      </c>
      <c r="B472" t="str">
        <f>"70197200      "</f>
        <v xml:space="preserve">70197200      </v>
      </c>
      <c r="C472" t="s">
        <v>874</v>
      </c>
      <c r="D472" t="s">
        <v>875</v>
      </c>
      <c r="E472" s="3">
        <v>44562</v>
      </c>
      <c r="G472" t="s">
        <v>831</v>
      </c>
      <c r="H472" t="s">
        <v>832</v>
      </c>
    </row>
    <row r="473" spans="1:9" x14ac:dyDescent="0.25">
      <c r="A473" t="s">
        <v>12</v>
      </c>
      <c r="B473" t="str">
        <f>"70197300      "</f>
        <v xml:space="preserve">70197300      </v>
      </c>
      <c r="C473" t="s">
        <v>876</v>
      </c>
      <c r="D473" t="s">
        <v>877</v>
      </c>
      <c r="E473" s="3">
        <v>44562</v>
      </c>
      <c r="G473" t="s">
        <v>831</v>
      </c>
      <c r="H473" t="s">
        <v>832</v>
      </c>
    </row>
    <row r="474" spans="1:9" x14ac:dyDescent="0.25">
      <c r="A474" t="s">
        <v>12</v>
      </c>
      <c r="B474" t="str">
        <f>"70198010      "</f>
        <v xml:space="preserve">70198010      </v>
      </c>
      <c r="C474" t="s">
        <v>878</v>
      </c>
      <c r="D474" t="s">
        <v>879</v>
      </c>
      <c r="E474" s="3">
        <v>44562</v>
      </c>
      <c r="G474" t="s">
        <v>831</v>
      </c>
      <c r="H474" t="s">
        <v>832</v>
      </c>
    </row>
    <row r="475" spans="1:9" x14ac:dyDescent="0.25">
      <c r="A475" t="s">
        <v>12</v>
      </c>
      <c r="B475" t="str">
        <f>"70198090      "</f>
        <v xml:space="preserve">70198090      </v>
      </c>
      <c r="C475" t="s">
        <v>880</v>
      </c>
      <c r="D475" t="s">
        <v>16</v>
      </c>
      <c r="E475" s="3">
        <v>44562</v>
      </c>
      <c r="G475" t="s">
        <v>831</v>
      </c>
      <c r="H475" t="s">
        <v>832</v>
      </c>
    </row>
    <row r="476" spans="1:9" x14ac:dyDescent="0.25">
      <c r="A476" t="s">
        <v>2</v>
      </c>
      <c r="B476" t="str">
        <f>"71042010      "</f>
        <v xml:space="preserve">71042010      </v>
      </c>
      <c r="C476" t="s">
        <v>881</v>
      </c>
      <c r="E476" s="3">
        <v>43831</v>
      </c>
      <c r="F476" s="3">
        <v>44562</v>
      </c>
      <c r="G476" t="s">
        <v>882</v>
      </c>
      <c r="H476" t="s">
        <v>883</v>
      </c>
      <c r="I476" t="s">
        <v>884</v>
      </c>
    </row>
    <row r="477" spans="1:9" x14ac:dyDescent="0.25">
      <c r="A477" t="s">
        <v>2</v>
      </c>
      <c r="B477" t="str">
        <f>"71042090      "</f>
        <v xml:space="preserve">71042090      </v>
      </c>
      <c r="C477" t="s">
        <v>885</v>
      </c>
      <c r="E477" s="3">
        <v>43831</v>
      </c>
      <c r="F477" s="3">
        <v>44562</v>
      </c>
      <c r="G477" t="s">
        <v>882</v>
      </c>
      <c r="H477" t="s">
        <v>883</v>
      </c>
      <c r="I477" t="s">
        <v>884</v>
      </c>
    </row>
    <row r="478" spans="1:9" x14ac:dyDescent="0.25">
      <c r="A478" t="s">
        <v>12</v>
      </c>
      <c r="B478" t="str">
        <f>"71042100      "</f>
        <v xml:space="preserve">71042100      </v>
      </c>
      <c r="C478" t="s">
        <v>881</v>
      </c>
      <c r="D478" t="s">
        <v>886</v>
      </c>
      <c r="E478" s="3">
        <v>44562</v>
      </c>
      <c r="G478" t="s">
        <v>882</v>
      </c>
      <c r="H478" t="s">
        <v>883</v>
      </c>
    </row>
    <row r="479" spans="1:9" x14ac:dyDescent="0.25">
      <c r="A479" t="s">
        <v>12</v>
      </c>
      <c r="B479" t="str">
        <f>"71042900      "</f>
        <v xml:space="preserve">71042900      </v>
      </c>
      <c r="C479" t="s">
        <v>885</v>
      </c>
      <c r="D479" t="s">
        <v>887</v>
      </c>
      <c r="E479" s="3">
        <v>44562</v>
      </c>
      <c r="G479" t="s">
        <v>882</v>
      </c>
      <c r="H479" t="s">
        <v>883</v>
      </c>
    </row>
    <row r="480" spans="1:9" x14ac:dyDescent="0.25">
      <c r="A480" t="s">
        <v>2</v>
      </c>
      <c r="B480" t="str">
        <f>"71049010      "</f>
        <v xml:space="preserve">71049010      </v>
      </c>
      <c r="C480" t="s">
        <v>888</v>
      </c>
      <c r="E480" s="3">
        <v>43831</v>
      </c>
      <c r="F480" s="3">
        <v>44562</v>
      </c>
      <c r="G480" t="s">
        <v>882</v>
      </c>
      <c r="H480" t="s">
        <v>883</v>
      </c>
      <c r="I480" t="s">
        <v>16</v>
      </c>
    </row>
    <row r="481" spans="1:9" x14ac:dyDescent="0.25">
      <c r="A481" t="s">
        <v>2</v>
      </c>
      <c r="B481" t="str">
        <f>"71049090      "</f>
        <v xml:space="preserve">71049090      </v>
      </c>
      <c r="C481" t="s">
        <v>889</v>
      </c>
      <c r="E481" s="3">
        <v>43831</v>
      </c>
      <c r="F481" s="3">
        <v>44562</v>
      </c>
      <c r="G481" t="s">
        <v>882</v>
      </c>
      <c r="H481" t="s">
        <v>883</v>
      </c>
      <c r="I481" t="s">
        <v>16</v>
      </c>
    </row>
    <row r="482" spans="1:9" x14ac:dyDescent="0.25">
      <c r="A482" t="s">
        <v>12</v>
      </c>
      <c r="B482" t="str">
        <f>"71049100      "</f>
        <v xml:space="preserve">71049100      </v>
      </c>
      <c r="C482" t="s">
        <v>888</v>
      </c>
      <c r="D482" t="s">
        <v>890</v>
      </c>
      <c r="E482" s="3">
        <v>44562</v>
      </c>
      <c r="G482" t="s">
        <v>882</v>
      </c>
      <c r="H482" t="s">
        <v>883</v>
      </c>
    </row>
    <row r="483" spans="1:9" x14ac:dyDescent="0.25">
      <c r="A483" t="s">
        <v>12</v>
      </c>
      <c r="B483" t="str">
        <f>"71049900      "</f>
        <v xml:space="preserve">71049900      </v>
      </c>
      <c r="C483" t="s">
        <v>889</v>
      </c>
      <c r="D483" t="s">
        <v>78</v>
      </c>
      <c r="E483" s="3">
        <v>44562</v>
      </c>
      <c r="G483" t="s">
        <v>882</v>
      </c>
      <c r="H483" t="s">
        <v>883</v>
      </c>
    </row>
    <row r="484" spans="1:9" x14ac:dyDescent="0.25">
      <c r="A484" t="s">
        <v>2</v>
      </c>
      <c r="B484" t="str">
        <f>"73043910      "</f>
        <v xml:space="preserve">73043910      </v>
      </c>
      <c r="C484" t="s">
        <v>891</v>
      </c>
      <c r="E484" s="3">
        <v>41122</v>
      </c>
      <c r="F484" s="3">
        <v>44562</v>
      </c>
      <c r="G484" t="s">
        <v>892</v>
      </c>
      <c r="H484" t="s">
        <v>893</v>
      </c>
      <c r="I484" t="s">
        <v>894</v>
      </c>
    </row>
    <row r="485" spans="1:9" x14ac:dyDescent="0.25">
      <c r="A485" t="s">
        <v>12</v>
      </c>
      <c r="B485" t="str">
        <f>"73043950      "</f>
        <v xml:space="preserve">73043950      </v>
      </c>
      <c r="C485" t="s">
        <v>895</v>
      </c>
      <c r="D485" t="s">
        <v>896</v>
      </c>
      <c r="E485" s="3">
        <v>44562</v>
      </c>
      <c r="G485" t="s">
        <v>892</v>
      </c>
      <c r="H485" t="s">
        <v>893</v>
      </c>
      <c r="I485" t="s">
        <v>894</v>
      </c>
    </row>
    <row r="486" spans="1:9" x14ac:dyDescent="0.25">
      <c r="A486" t="s">
        <v>2</v>
      </c>
      <c r="B486" t="str">
        <f>"73043952      "</f>
        <v xml:space="preserve">73043952      </v>
      </c>
      <c r="C486" t="s">
        <v>897</v>
      </c>
      <c r="E486" s="3">
        <v>41122</v>
      </c>
      <c r="F486" s="3">
        <v>44562</v>
      </c>
      <c r="G486" t="s">
        <v>892</v>
      </c>
      <c r="H486" t="s">
        <v>893</v>
      </c>
      <c r="I486" t="s">
        <v>894</v>
      </c>
    </row>
    <row r="487" spans="1:9" x14ac:dyDescent="0.25">
      <c r="A487" t="s">
        <v>2</v>
      </c>
      <c r="B487" t="str">
        <f>"73043958      "</f>
        <v xml:space="preserve">73043958      </v>
      </c>
      <c r="C487" t="s">
        <v>898</v>
      </c>
      <c r="E487" s="3">
        <v>41122</v>
      </c>
      <c r="F487" s="3">
        <v>44562</v>
      </c>
      <c r="G487" t="s">
        <v>892</v>
      </c>
      <c r="H487" t="s">
        <v>893</v>
      </c>
      <c r="I487" t="s">
        <v>894</v>
      </c>
    </row>
    <row r="488" spans="1:9" x14ac:dyDescent="0.25">
      <c r="A488" t="s">
        <v>12</v>
      </c>
      <c r="B488" t="str">
        <f>"73043982      "</f>
        <v xml:space="preserve">73043982      </v>
      </c>
      <c r="C488" t="s">
        <v>899</v>
      </c>
      <c r="D488" t="s">
        <v>900</v>
      </c>
      <c r="E488" s="3">
        <v>44562</v>
      </c>
      <c r="G488" t="s">
        <v>892</v>
      </c>
      <c r="H488" t="s">
        <v>893</v>
      </c>
      <c r="I488" t="s">
        <v>894</v>
      </c>
    </row>
    <row r="489" spans="1:9" x14ac:dyDescent="0.25">
      <c r="A489" t="s">
        <v>12</v>
      </c>
      <c r="B489" t="str">
        <f>"73043983      "</f>
        <v xml:space="preserve">73043983      </v>
      </c>
      <c r="C489" t="s">
        <v>901</v>
      </c>
      <c r="D489" t="s">
        <v>902</v>
      </c>
      <c r="E489" s="3">
        <v>44562</v>
      </c>
      <c r="G489" t="s">
        <v>892</v>
      </c>
      <c r="H489" t="s">
        <v>893</v>
      </c>
      <c r="I489" t="s">
        <v>894</v>
      </c>
    </row>
    <row r="490" spans="1:9" x14ac:dyDescent="0.25">
      <c r="A490" t="s">
        <v>12</v>
      </c>
      <c r="B490" t="str">
        <f>"73043988      "</f>
        <v xml:space="preserve">73043988      </v>
      </c>
      <c r="C490" t="s">
        <v>903</v>
      </c>
      <c r="D490" t="s">
        <v>904</v>
      </c>
      <c r="E490" s="3">
        <v>44562</v>
      </c>
      <c r="G490" t="s">
        <v>892</v>
      </c>
      <c r="H490" t="s">
        <v>893</v>
      </c>
      <c r="I490" t="s">
        <v>894</v>
      </c>
    </row>
    <row r="491" spans="1:9" x14ac:dyDescent="0.25">
      <c r="A491" t="s">
        <v>2</v>
      </c>
      <c r="B491" t="str">
        <f>"73043992      "</f>
        <v xml:space="preserve">73043992      </v>
      </c>
      <c r="C491" t="s">
        <v>905</v>
      </c>
      <c r="E491" s="3">
        <v>41122</v>
      </c>
      <c r="F491" s="3">
        <v>44562</v>
      </c>
      <c r="G491" t="s">
        <v>892</v>
      </c>
      <c r="H491" t="s">
        <v>893</v>
      </c>
      <c r="I491" t="s">
        <v>894</v>
      </c>
    </row>
    <row r="492" spans="1:9" x14ac:dyDescent="0.25">
      <c r="A492" t="s">
        <v>2</v>
      </c>
      <c r="B492" t="str">
        <f>"73043993      "</f>
        <v xml:space="preserve">73043993      </v>
      </c>
      <c r="C492" t="s">
        <v>906</v>
      </c>
      <c r="E492" s="3">
        <v>41122</v>
      </c>
      <c r="F492" s="3">
        <v>44562</v>
      </c>
      <c r="G492" t="s">
        <v>892</v>
      </c>
      <c r="H492" t="s">
        <v>893</v>
      </c>
      <c r="I492" t="s">
        <v>894</v>
      </c>
    </row>
    <row r="493" spans="1:9" x14ac:dyDescent="0.25">
      <c r="A493" t="s">
        <v>2</v>
      </c>
      <c r="B493" t="str">
        <f>"73043998      "</f>
        <v xml:space="preserve">73043998      </v>
      </c>
      <c r="C493" t="s">
        <v>907</v>
      </c>
      <c r="E493" s="3">
        <v>41122</v>
      </c>
      <c r="F493" s="3">
        <v>44562</v>
      </c>
      <c r="G493" t="s">
        <v>892</v>
      </c>
      <c r="H493" t="s">
        <v>893</v>
      </c>
      <c r="I493" t="s">
        <v>894</v>
      </c>
    </row>
    <row r="494" spans="1:9" x14ac:dyDescent="0.25">
      <c r="A494" t="s">
        <v>2</v>
      </c>
      <c r="B494" t="str">
        <f>"73044910      "</f>
        <v xml:space="preserve">73044910      </v>
      </c>
      <c r="C494" t="s">
        <v>908</v>
      </c>
      <c r="E494" s="3">
        <v>41122</v>
      </c>
      <c r="F494" s="3">
        <v>44562</v>
      </c>
      <c r="G494" t="s">
        <v>892</v>
      </c>
      <c r="H494" t="s">
        <v>893</v>
      </c>
      <c r="I494" t="s">
        <v>909</v>
      </c>
    </row>
    <row r="495" spans="1:9" x14ac:dyDescent="0.25">
      <c r="A495" t="s">
        <v>12</v>
      </c>
      <c r="B495" t="str">
        <f>"73044983      "</f>
        <v xml:space="preserve">73044983      </v>
      </c>
      <c r="C495" t="s">
        <v>910</v>
      </c>
      <c r="D495" t="s">
        <v>911</v>
      </c>
      <c r="E495" s="3">
        <v>44562</v>
      </c>
      <c r="G495" t="s">
        <v>892</v>
      </c>
      <c r="H495" t="s">
        <v>893</v>
      </c>
      <c r="I495" t="s">
        <v>909</v>
      </c>
    </row>
    <row r="496" spans="1:9" x14ac:dyDescent="0.25">
      <c r="A496" t="s">
        <v>12</v>
      </c>
      <c r="B496" t="str">
        <f>"73044985      "</f>
        <v xml:space="preserve">73044985      </v>
      </c>
      <c r="C496" t="s">
        <v>912</v>
      </c>
      <c r="D496" t="s">
        <v>913</v>
      </c>
      <c r="E496" s="3">
        <v>44562</v>
      </c>
      <c r="G496" t="s">
        <v>892</v>
      </c>
      <c r="H496" t="s">
        <v>893</v>
      </c>
      <c r="I496" t="s">
        <v>909</v>
      </c>
    </row>
    <row r="497" spans="1:9" x14ac:dyDescent="0.25">
      <c r="A497" t="s">
        <v>12</v>
      </c>
      <c r="B497" t="str">
        <f>"73044989      "</f>
        <v xml:space="preserve">73044989      </v>
      </c>
      <c r="C497" t="s">
        <v>914</v>
      </c>
      <c r="D497" t="s">
        <v>915</v>
      </c>
      <c r="E497" s="3">
        <v>44562</v>
      </c>
      <c r="G497" t="s">
        <v>892</v>
      </c>
      <c r="H497" t="s">
        <v>893</v>
      </c>
      <c r="I497" t="s">
        <v>909</v>
      </c>
    </row>
    <row r="498" spans="1:9" x14ac:dyDescent="0.25">
      <c r="A498" t="s">
        <v>2</v>
      </c>
      <c r="B498" t="str">
        <f>"73044993      "</f>
        <v xml:space="preserve">73044993      </v>
      </c>
      <c r="C498" t="s">
        <v>916</v>
      </c>
      <c r="E498" s="3">
        <v>41122</v>
      </c>
      <c r="F498" s="3">
        <v>44562</v>
      </c>
      <c r="G498" t="s">
        <v>892</v>
      </c>
      <c r="H498" t="s">
        <v>893</v>
      </c>
      <c r="I498" t="s">
        <v>909</v>
      </c>
    </row>
    <row r="499" spans="1:9" x14ac:dyDescent="0.25">
      <c r="A499" t="s">
        <v>2</v>
      </c>
      <c r="B499" t="str">
        <f>"73044995      "</f>
        <v xml:space="preserve">73044995      </v>
      </c>
      <c r="C499" t="s">
        <v>917</v>
      </c>
      <c r="E499" s="3">
        <v>41122</v>
      </c>
      <c r="F499" s="3">
        <v>44562</v>
      </c>
      <c r="G499" t="s">
        <v>892</v>
      </c>
      <c r="H499" t="s">
        <v>893</v>
      </c>
      <c r="I499" t="s">
        <v>909</v>
      </c>
    </row>
    <row r="500" spans="1:9" x14ac:dyDescent="0.25">
      <c r="A500" t="s">
        <v>2</v>
      </c>
      <c r="B500" t="str">
        <f>"73044999      "</f>
        <v xml:space="preserve">73044999      </v>
      </c>
      <c r="C500" t="s">
        <v>918</v>
      </c>
      <c r="E500" s="3">
        <v>41122</v>
      </c>
      <c r="F500" s="3">
        <v>44562</v>
      </c>
      <c r="G500" t="s">
        <v>892</v>
      </c>
      <c r="H500" t="s">
        <v>893</v>
      </c>
      <c r="I500" t="s">
        <v>909</v>
      </c>
    </row>
    <row r="501" spans="1:9" x14ac:dyDescent="0.25">
      <c r="A501" t="s">
        <v>12</v>
      </c>
      <c r="B501" t="str">
        <f>"73045110      "</f>
        <v xml:space="preserve">73045110      </v>
      </c>
      <c r="C501" t="s">
        <v>919</v>
      </c>
      <c r="D501" t="s">
        <v>920</v>
      </c>
      <c r="E501" s="3">
        <v>44562</v>
      </c>
      <c r="G501" t="s">
        <v>892</v>
      </c>
      <c r="H501" t="s">
        <v>893</v>
      </c>
      <c r="I501" t="s">
        <v>921</v>
      </c>
    </row>
    <row r="502" spans="1:9" x14ac:dyDescent="0.25">
      <c r="A502" t="s">
        <v>2</v>
      </c>
      <c r="B502" t="str">
        <f>"73045112      "</f>
        <v xml:space="preserve">73045112      </v>
      </c>
      <c r="C502" t="s">
        <v>922</v>
      </c>
      <c r="E502" s="3">
        <v>41122</v>
      </c>
      <c r="F502" s="3">
        <v>44562</v>
      </c>
      <c r="G502" t="s">
        <v>892</v>
      </c>
      <c r="H502" t="s">
        <v>893</v>
      </c>
      <c r="I502" t="s">
        <v>921</v>
      </c>
    </row>
    <row r="503" spans="1:9" x14ac:dyDescent="0.25">
      <c r="A503" t="s">
        <v>2</v>
      </c>
      <c r="B503" t="str">
        <f>"73045118      "</f>
        <v xml:space="preserve">73045118      </v>
      </c>
      <c r="C503" t="s">
        <v>923</v>
      </c>
      <c r="E503" s="3">
        <v>41122</v>
      </c>
      <c r="F503" s="3">
        <v>44562</v>
      </c>
      <c r="G503" t="s">
        <v>892</v>
      </c>
      <c r="H503" t="s">
        <v>893</v>
      </c>
      <c r="I503" t="s">
        <v>921</v>
      </c>
    </row>
    <row r="504" spans="1:9" x14ac:dyDescent="0.25">
      <c r="A504" t="s">
        <v>2</v>
      </c>
      <c r="B504" t="str">
        <f>"73045910      "</f>
        <v xml:space="preserve">73045910      </v>
      </c>
      <c r="C504" t="s">
        <v>924</v>
      </c>
      <c r="E504" s="3">
        <v>41122</v>
      </c>
      <c r="F504" s="3">
        <v>44562</v>
      </c>
      <c r="G504" t="s">
        <v>892</v>
      </c>
      <c r="H504" t="s">
        <v>893</v>
      </c>
      <c r="I504" t="s">
        <v>925</v>
      </c>
    </row>
    <row r="505" spans="1:9" x14ac:dyDescent="0.25">
      <c r="A505" t="s">
        <v>12</v>
      </c>
      <c r="B505" t="str">
        <f>"73045930      "</f>
        <v xml:space="preserve">73045930      </v>
      </c>
      <c r="C505" t="s">
        <v>926</v>
      </c>
      <c r="D505" t="s">
        <v>920</v>
      </c>
      <c r="E505" s="3">
        <v>44562</v>
      </c>
      <c r="G505" t="s">
        <v>892</v>
      </c>
      <c r="H505" t="s">
        <v>893</v>
      </c>
      <c r="I505" t="s">
        <v>925</v>
      </c>
    </row>
    <row r="506" spans="1:9" x14ac:dyDescent="0.25">
      <c r="A506" t="s">
        <v>2</v>
      </c>
      <c r="B506" t="str">
        <f>"73045932      "</f>
        <v xml:space="preserve">73045932      </v>
      </c>
      <c r="C506" t="s">
        <v>927</v>
      </c>
      <c r="E506" s="3">
        <v>41122</v>
      </c>
      <c r="F506" s="3">
        <v>44562</v>
      </c>
      <c r="G506" t="s">
        <v>892</v>
      </c>
      <c r="H506" t="s">
        <v>893</v>
      </c>
      <c r="I506" t="s">
        <v>925</v>
      </c>
    </row>
    <row r="507" spans="1:9" x14ac:dyDescent="0.25">
      <c r="A507" t="s">
        <v>2</v>
      </c>
      <c r="B507" t="str">
        <f>"73045938      "</f>
        <v xml:space="preserve">73045938      </v>
      </c>
      <c r="C507" t="s">
        <v>928</v>
      </c>
      <c r="E507" s="3">
        <v>41122</v>
      </c>
      <c r="F507" s="3">
        <v>44562</v>
      </c>
      <c r="G507" t="s">
        <v>892</v>
      </c>
      <c r="H507" t="s">
        <v>893</v>
      </c>
      <c r="I507" t="s">
        <v>925</v>
      </c>
    </row>
    <row r="508" spans="1:9" x14ac:dyDescent="0.25">
      <c r="A508" t="s">
        <v>12</v>
      </c>
      <c r="B508" t="str">
        <f>"73045982      "</f>
        <v xml:space="preserve">73045982      </v>
      </c>
      <c r="C508" t="s">
        <v>929</v>
      </c>
      <c r="D508" t="s">
        <v>930</v>
      </c>
      <c r="E508" s="3">
        <v>44562</v>
      </c>
      <c r="G508" t="s">
        <v>892</v>
      </c>
      <c r="H508" t="s">
        <v>893</v>
      </c>
      <c r="I508" t="s">
        <v>925</v>
      </c>
    </row>
    <row r="509" spans="1:9" x14ac:dyDescent="0.25">
      <c r="A509" t="s">
        <v>12</v>
      </c>
      <c r="B509" t="str">
        <f>"73045983      "</f>
        <v xml:space="preserve">73045983      </v>
      </c>
      <c r="C509" t="s">
        <v>931</v>
      </c>
      <c r="D509" t="s">
        <v>932</v>
      </c>
      <c r="E509" s="3">
        <v>44562</v>
      </c>
      <c r="G509" t="s">
        <v>892</v>
      </c>
      <c r="H509" t="s">
        <v>893</v>
      </c>
      <c r="I509" t="s">
        <v>925</v>
      </c>
    </row>
    <row r="510" spans="1:9" x14ac:dyDescent="0.25">
      <c r="A510" t="s">
        <v>12</v>
      </c>
      <c r="B510" t="str">
        <f>"73045989      "</f>
        <v xml:space="preserve">73045989      </v>
      </c>
      <c r="C510" t="s">
        <v>933</v>
      </c>
      <c r="D510" t="s">
        <v>934</v>
      </c>
      <c r="E510" s="3">
        <v>44562</v>
      </c>
      <c r="G510" t="s">
        <v>892</v>
      </c>
      <c r="H510" t="s">
        <v>893</v>
      </c>
      <c r="I510" t="s">
        <v>925</v>
      </c>
    </row>
    <row r="511" spans="1:9" x14ac:dyDescent="0.25">
      <c r="A511" t="s">
        <v>2</v>
      </c>
      <c r="B511" t="str">
        <f>"73045992      "</f>
        <v xml:space="preserve">73045992      </v>
      </c>
      <c r="C511" t="s">
        <v>929</v>
      </c>
      <c r="E511" s="3">
        <v>41122</v>
      </c>
      <c r="F511" s="3">
        <v>44562</v>
      </c>
      <c r="G511" t="s">
        <v>892</v>
      </c>
      <c r="H511" t="s">
        <v>893</v>
      </c>
      <c r="I511" t="s">
        <v>925</v>
      </c>
    </row>
    <row r="512" spans="1:9" x14ac:dyDescent="0.25">
      <c r="A512" t="s">
        <v>2</v>
      </c>
      <c r="B512" t="str">
        <f>"73045993      "</f>
        <v xml:space="preserve">73045993      </v>
      </c>
      <c r="C512" t="s">
        <v>931</v>
      </c>
      <c r="E512" s="3">
        <v>41122</v>
      </c>
      <c r="F512" s="3">
        <v>44562</v>
      </c>
      <c r="G512" t="s">
        <v>892</v>
      </c>
      <c r="H512" t="s">
        <v>893</v>
      </c>
      <c r="I512" t="s">
        <v>925</v>
      </c>
    </row>
    <row r="513" spans="1:9" x14ac:dyDescent="0.25">
      <c r="A513" t="s">
        <v>2</v>
      </c>
      <c r="B513" t="str">
        <f>"73045999      "</f>
        <v xml:space="preserve">73045999      </v>
      </c>
      <c r="C513" t="s">
        <v>933</v>
      </c>
      <c r="E513" s="3">
        <v>41122</v>
      </c>
      <c r="F513" s="3">
        <v>44562</v>
      </c>
      <c r="G513" t="s">
        <v>892</v>
      </c>
      <c r="H513" t="s">
        <v>893</v>
      </c>
      <c r="I513" t="s">
        <v>925</v>
      </c>
    </row>
    <row r="514" spans="1:9" x14ac:dyDescent="0.25">
      <c r="A514" t="s">
        <v>12</v>
      </c>
      <c r="B514" t="str">
        <f>"73061100      "</f>
        <v xml:space="preserve">73061100      </v>
      </c>
      <c r="C514" t="s">
        <v>935</v>
      </c>
      <c r="D514" t="s">
        <v>936</v>
      </c>
      <c r="E514" s="3">
        <v>44562</v>
      </c>
      <c r="G514" t="s">
        <v>892</v>
      </c>
      <c r="H514" t="s">
        <v>937</v>
      </c>
      <c r="I514" t="s">
        <v>938</v>
      </c>
    </row>
    <row r="515" spans="1:9" x14ac:dyDescent="0.25">
      <c r="A515" t="s">
        <v>2</v>
      </c>
      <c r="B515" t="str">
        <f>"73061110      "</f>
        <v xml:space="preserve">73061110      </v>
      </c>
      <c r="C515" t="s">
        <v>939</v>
      </c>
      <c r="E515" s="3">
        <v>41122</v>
      </c>
      <c r="F515" s="3">
        <v>44562</v>
      </c>
      <c r="G515" t="s">
        <v>892</v>
      </c>
      <c r="H515" t="s">
        <v>937</v>
      </c>
      <c r="I515" t="s">
        <v>938</v>
      </c>
    </row>
    <row r="516" spans="1:9" x14ac:dyDescent="0.25">
      <c r="A516" t="s">
        <v>2</v>
      </c>
      <c r="B516" t="str">
        <f>"73061190      "</f>
        <v xml:space="preserve">73061190      </v>
      </c>
      <c r="C516" t="s">
        <v>940</v>
      </c>
      <c r="E516" s="3">
        <v>41122</v>
      </c>
      <c r="F516" s="3">
        <v>44562</v>
      </c>
      <c r="G516" t="s">
        <v>892</v>
      </c>
      <c r="H516" t="s">
        <v>937</v>
      </c>
      <c r="I516" t="s">
        <v>938</v>
      </c>
    </row>
    <row r="517" spans="1:9" x14ac:dyDescent="0.25">
      <c r="A517" t="s">
        <v>12</v>
      </c>
      <c r="B517" t="str">
        <f>"73061900      "</f>
        <v xml:space="preserve">73061900      </v>
      </c>
      <c r="C517" t="s">
        <v>941</v>
      </c>
      <c r="D517" t="s">
        <v>942</v>
      </c>
      <c r="E517" s="3">
        <v>44562</v>
      </c>
      <c r="G517" t="s">
        <v>892</v>
      </c>
      <c r="H517" t="s">
        <v>937</v>
      </c>
      <c r="I517" t="s">
        <v>943</v>
      </c>
    </row>
    <row r="518" spans="1:9" x14ac:dyDescent="0.25">
      <c r="A518" t="s">
        <v>2</v>
      </c>
      <c r="B518" t="str">
        <f>"73061910      "</f>
        <v xml:space="preserve">73061910      </v>
      </c>
      <c r="C518" t="s">
        <v>944</v>
      </c>
      <c r="E518" s="3">
        <v>41122</v>
      </c>
      <c r="F518" s="3">
        <v>44562</v>
      </c>
      <c r="G518" t="s">
        <v>892</v>
      </c>
      <c r="H518" t="s">
        <v>937</v>
      </c>
      <c r="I518" t="s">
        <v>943</v>
      </c>
    </row>
    <row r="519" spans="1:9" x14ac:dyDescent="0.25">
      <c r="A519" t="s">
        <v>2</v>
      </c>
      <c r="B519" t="str">
        <f>"73061990      "</f>
        <v xml:space="preserve">73061990      </v>
      </c>
      <c r="C519" t="s">
        <v>945</v>
      </c>
      <c r="E519" s="3">
        <v>41122</v>
      </c>
      <c r="F519" s="3">
        <v>44562</v>
      </c>
      <c r="G519" t="s">
        <v>892</v>
      </c>
      <c r="H519" t="s">
        <v>937</v>
      </c>
      <c r="I519" t="s">
        <v>943</v>
      </c>
    </row>
    <row r="520" spans="1:9" x14ac:dyDescent="0.25">
      <c r="A520" t="s">
        <v>2</v>
      </c>
      <c r="B520" t="str">
        <f>"73063011      "</f>
        <v xml:space="preserve">73063011      </v>
      </c>
      <c r="C520" t="s">
        <v>946</v>
      </c>
      <c r="E520" s="3">
        <v>41122</v>
      </c>
      <c r="F520" s="3">
        <v>44562</v>
      </c>
      <c r="G520" t="s">
        <v>892</v>
      </c>
      <c r="H520" t="s">
        <v>937</v>
      </c>
      <c r="I520" t="s">
        <v>947</v>
      </c>
    </row>
    <row r="521" spans="1:9" x14ac:dyDescent="0.25">
      <c r="A521" t="s">
        <v>12</v>
      </c>
      <c r="B521" t="str">
        <f>"73063012      "</f>
        <v xml:space="preserve">73063012      </v>
      </c>
      <c r="C521" t="s">
        <v>948</v>
      </c>
      <c r="D521" t="s">
        <v>949</v>
      </c>
      <c r="E521" s="3">
        <v>44562</v>
      </c>
      <c r="G521" t="s">
        <v>892</v>
      </c>
      <c r="H521" t="s">
        <v>937</v>
      </c>
      <c r="I521" t="s">
        <v>947</v>
      </c>
    </row>
    <row r="522" spans="1:9" x14ac:dyDescent="0.25">
      <c r="A522" t="s">
        <v>12</v>
      </c>
      <c r="B522" t="str">
        <f>"73063018      "</f>
        <v xml:space="preserve">73063018      </v>
      </c>
      <c r="C522" t="s">
        <v>950</v>
      </c>
      <c r="D522" t="s">
        <v>951</v>
      </c>
      <c r="E522" s="3">
        <v>44562</v>
      </c>
      <c r="G522" t="s">
        <v>892</v>
      </c>
      <c r="H522" t="s">
        <v>937</v>
      </c>
      <c r="I522" t="s">
        <v>947</v>
      </c>
    </row>
    <row r="523" spans="1:9" x14ac:dyDescent="0.25">
      <c r="A523" t="s">
        <v>2</v>
      </c>
      <c r="B523" t="str">
        <f>"73063019      "</f>
        <v xml:space="preserve">73063019      </v>
      </c>
      <c r="C523" t="s">
        <v>952</v>
      </c>
      <c r="E523" s="3">
        <v>41122</v>
      </c>
      <c r="F523" s="3">
        <v>44562</v>
      </c>
      <c r="G523" t="s">
        <v>892</v>
      </c>
      <c r="H523" t="s">
        <v>937</v>
      </c>
      <c r="I523" t="s">
        <v>947</v>
      </c>
    </row>
    <row r="524" spans="1:9" x14ac:dyDescent="0.25">
      <c r="A524" t="s">
        <v>2</v>
      </c>
      <c r="B524" t="str">
        <f>"73065020      "</f>
        <v xml:space="preserve">73065020      </v>
      </c>
      <c r="C524" t="s">
        <v>953</v>
      </c>
      <c r="E524" s="3">
        <v>41122</v>
      </c>
      <c r="F524" s="3">
        <v>44562</v>
      </c>
      <c r="G524" t="s">
        <v>892</v>
      </c>
      <c r="H524" t="s">
        <v>937</v>
      </c>
      <c r="I524" t="s">
        <v>954</v>
      </c>
    </row>
    <row r="525" spans="1:9" x14ac:dyDescent="0.25">
      <c r="A525" t="s">
        <v>12</v>
      </c>
      <c r="B525" t="str">
        <f>"73065021      "</f>
        <v xml:space="preserve">73065021      </v>
      </c>
      <c r="C525" t="s">
        <v>955</v>
      </c>
      <c r="D525" t="s">
        <v>949</v>
      </c>
      <c r="E525" s="3">
        <v>44562</v>
      </c>
      <c r="G525" t="s">
        <v>892</v>
      </c>
      <c r="H525" t="s">
        <v>937</v>
      </c>
      <c r="I525" t="s">
        <v>954</v>
      </c>
    </row>
    <row r="526" spans="1:9" x14ac:dyDescent="0.25">
      <c r="A526" t="s">
        <v>12</v>
      </c>
      <c r="B526" t="str">
        <f>"73065029      "</f>
        <v xml:space="preserve">73065029      </v>
      </c>
      <c r="C526" t="s">
        <v>956</v>
      </c>
      <c r="D526" t="s">
        <v>951</v>
      </c>
      <c r="E526" s="3">
        <v>44562</v>
      </c>
      <c r="G526" t="s">
        <v>892</v>
      </c>
      <c r="H526" t="s">
        <v>937</v>
      </c>
      <c r="I526" t="s">
        <v>954</v>
      </c>
    </row>
    <row r="527" spans="1:9" x14ac:dyDescent="0.25">
      <c r="A527" t="s">
        <v>2</v>
      </c>
      <c r="B527" t="str">
        <f>"74191000      "</f>
        <v xml:space="preserve">74191000      </v>
      </c>
      <c r="C527" t="s">
        <v>957</v>
      </c>
      <c r="E527" s="3">
        <v>41122</v>
      </c>
      <c r="F527" s="3">
        <v>44562</v>
      </c>
      <c r="G527" t="s">
        <v>958</v>
      </c>
      <c r="H527" t="s">
        <v>959</v>
      </c>
      <c r="I527" t="s">
        <v>960</v>
      </c>
    </row>
    <row r="528" spans="1:9" x14ac:dyDescent="0.25">
      <c r="A528" t="s">
        <v>12</v>
      </c>
      <c r="B528" t="str">
        <f>"74192000      "</f>
        <v xml:space="preserve">74192000      </v>
      </c>
      <c r="C528" t="s">
        <v>961</v>
      </c>
      <c r="D528" t="s">
        <v>962</v>
      </c>
      <c r="E528" s="3">
        <v>44562</v>
      </c>
      <c r="G528" t="s">
        <v>958</v>
      </c>
      <c r="H528" t="s">
        <v>959</v>
      </c>
    </row>
    <row r="529" spans="1:9" x14ac:dyDescent="0.25">
      <c r="A529" t="s">
        <v>12</v>
      </c>
      <c r="B529" t="str">
        <f>"74198010      "</f>
        <v xml:space="preserve">74198010      </v>
      </c>
      <c r="C529" t="s">
        <v>963</v>
      </c>
      <c r="D529" t="s">
        <v>964</v>
      </c>
      <c r="E529" s="3">
        <v>44562</v>
      </c>
      <c r="G529" t="s">
        <v>958</v>
      </c>
      <c r="H529" t="s">
        <v>959</v>
      </c>
    </row>
    <row r="530" spans="1:9" x14ac:dyDescent="0.25">
      <c r="A530" t="s">
        <v>12</v>
      </c>
      <c r="B530" t="str">
        <f>"74198030      "</f>
        <v xml:space="preserve">74198030      </v>
      </c>
      <c r="C530" t="s">
        <v>965</v>
      </c>
      <c r="D530" t="s">
        <v>966</v>
      </c>
      <c r="E530" s="3">
        <v>44562</v>
      </c>
      <c r="G530" t="s">
        <v>958</v>
      </c>
      <c r="H530" t="s">
        <v>959</v>
      </c>
    </row>
    <row r="531" spans="1:9" x14ac:dyDescent="0.25">
      <c r="A531" t="s">
        <v>12</v>
      </c>
      <c r="B531" t="str">
        <f>"74198090      "</f>
        <v xml:space="preserve">74198090      </v>
      </c>
      <c r="C531" t="s">
        <v>967</v>
      </c>
      <c r="D531" t="s">
        <v>16</v>
      </c>
      <c r="E531" s="3">
        <v>44562</v>
      </c>
      <c r="G531" t="s">
        <v>958</v>
      </c>
      <c r="H531" t="s">
        <v>959</v>
      </c>
    </row>
    <row r="532" spans="1:9" x14ac:dyDescent="0.25">
      <c r="A532" t="s">
        <v>2</v>
      </c>
      <c r="B532" t="str">
        <f>"74199100      "</f>
        <v xml:space="preserve">74199100      </v>
      </c>
      <c r="C532" t="s">
        <v>968</v>
      </c>
      <c r="E532" s="3">
        <v>41122</v>
      </c>
      <c r="F532" s="3">
        <v>44562</v>
      </c>
      <c r="G532" t="s">
        <v>958</v>
      </c>
      <c r="H532" t="s">
        <v>959</v>
      </c>
      <c r="I532" t="s">
        <v>969</v>
      </c>
    </row>
    <row r="533" spans="1:9" x14ac:dyDescent="0.25">
      <c r="A533" t="s">
        <v>2</v>
      </c>
      <c r="B533" t="str">
        <f>"74199910      "</f>
        <v xml:space="preserve">74199910      </v>
      </c>
      <c r="C533" t="s">
        <v>970</v>
      </c>
      <c r="E533" s="3">
        <v>41122</v>
      </c>
      <c r="F533" s="3">
        <v>44562</v>
      </c>
      <c r="G533" t="s">
        <v>958</v>
      </c>
      <c r="H533" t="s">
        <v>959</v>
      </c>
      <c r="I533" t="s">
        <v>642</v>
      </c>
    </row>
    <row r="534" spans="1:9" x14ac:dyDescent="0.25">
      <c r="A534" t="s">
        <v>2</v>
      </c>
      <c r="B534" t="str">
        <f>"74199930      "</f>
        <v xml:space="preserve">74199930      </v>
      </c>
      <c r="C534" t="s">
        <v>971</v>
      </c>
      <c r="E534" s="3">
        <v>41122</v>
      </c>
      <c r="F534" s="3">
        <v>44562</v>
      </c>
      <c r="G534" t="s">
        <v>958</v>
      </c>
      <c r="H534" t="s">
        <v>959</v>
      </c>
      <c r="I534" t="s">
        <v>642</v>
      </c>
    </row>
    <row r="535" spans="1:9" x14ac:dyDescent="0.25">
      <c r="A535" t="s">
        <v>2</v>
      </c>
      <c r="B535" t="str">
        <f>"74199990      "</f>
        <v xml:space="preserve">74199990      </v>
      </c>
      <c r="C535" t="s">
        <v>972</v>
      </c>
      <c r="E535" s="3">
        <v>41122</v>
      </c>
      <c r="F535" s="3">
        <v>44562</v>
      </c>
      <c r="G535" t="s">
        <v>958</v>
      </c>
      <c r="H535" t="s">
        <v>959</v>
      </c>
      <c r="I535" t="s">
        <v>642</v>
      </c>
    </row>
    <row r="536" spans="1:9" x14ac:dyDescent="0.25">
      <c r="A536" t="s">
        <v>2</v>
      </c>
      <c r="B536" t="str">
        <f>"76061110      "</f>
        <v xml:space="preserve">76061110      </v>
      </c>
      <c r="C536" t="s">
        <v>973</v>
      </c>
      <c r="E536" s="3">
        <v>41122</v>
      </c>
      <c r="F536" s="3">
        <v>44562</v>
      </c>
      <c r="G536" t="s">
        <v>974</v>
      </c>
      <c r="H536" t="s">
        <v>975</v>
      </c>
      <c r="I536" t="s">
        <v>976</v>
      </c>
    </row>
    <row r="537" spans="1:9" x14ac:dyDescent="0.25">
      <c r="A537" t="s">
        <v>12</v>
      </c>
      <c r="B537" t="str">
        <f>"76061130      "</f>
        <v xml:space="preserve">76061130      </v>
      </c>
      <c r="C537" t="s">
        <v>977</v>
      </c>
      <c r="D537" t="s">
        <v>978</v>
      </c>
      <c r="E537" s="3">
        <v>44562</v>
      </c>
      <c r="G537" t="s">
        <v>974</v>
      </c>
      <c r="H537" t="s">
        <v>975</v>
      </c>
      <c r="I537" t="s">
        <v>976</v>
      </c>
    </row>
    <row r="538" spans="1:9" x14ac:dyDescent="0.25">
      <c r="A538" t="s">
        <v>12</v>
      </c>
      <c r="B538" t="str">
        <f>"76061150      "</f>
        <v xml:space="preserve">76061150      </v>
      </c>
      <c r="C538" t="s">
        <v>979</v>
      </c>
      <c r="D538" t="s">
        <v>980</v>
      </c>
      <c r="E538" s="3">
        <v>44562</v>
      </c>
      <c r="G538" t="s">
        <v>974</v>
      </c>
      <c r="H538" t="s">
        <v>975</v>
      </c>
      <c r="I538" t="s">
        <v>976</v>
      </c>
    </row>
    <row r="539" spans="1:9" x14ac:dyDescent="0.25">
      <c r="A539" t="s">
        <v>2</v>
      </c>
      <c r="B539" t="str">
        <f>"76061220      "</f>
        <v xml:space="preserve">76061220      </v>
      </c>
      <c r="C539" t="s">
        <v>981</v>
      </c>
      <c r="E539" s="3">
        <v>41122</v>
      </c>
      <c r="F539" s="3">
        <v>44562</v>
      </c>
      <c r="G539" t="s">
        <v>974</v>
      </c>
      <c r="H539" t="s">
        <v>975</v>
      </c>
      <c r="I539" t="s">
        <v>982</v>
      </c>
    </row>
    <row r="540" spans="1:9" x14ac:dyDescent="0.25">
      <c r="A540" t="s">
        <v>12</v>
      </c>
      <c r="B540" t="str">
        <f>"76061230      "</f>
        <v xml:space="preserve">76061230      </v>
      </c>
      <c r="C540" t="s">
        <v>983</v>
      </c>
      <c r="D540" t="s">
        <v>978</v>
      </c>
      <c r="E540" s="3">
        <v>44562</v>
      </c>
      <c r="G540" t="s">
        <v>974</v>
      </c>
      <c r="H540" t="s">
        <v>975</v>
      </c>
      <c r="I540" t="s">
        <v>982</v>
      </c>
    </row>
    <row r="541" spans="1:9" x14ac:dyDescent="0.25">
      <c r="A541" t="s">
        <v>12</v>
      </c>
      <c r="B541" t="str">
        <f>"76061250      "</f>
        <v xml:space="preserve">76061250      </v>
      </c>
      <c r="C541" t="s">
        <v>981</v>
      </c>
      <c r="D541" t="s">
        <v>980</v>
      </c>
      <c r="E541" s="3">
        <v>44562</v>
      </c>
      <c r="G541" t="s">
        <v>974</v>
      </c>
      <c r="H541" t="s">
        <v>975</v>
      </c>
      <c r="I541" t="s">
        <v>982</v>
      </c>
    </row>
    <row r="542" spans="1:9" x14ac:dyDescent="0.25">
      <c r="A542" t="s">
        <v>2</v>
      </c>
      <c r="B542" t="str">
        <f>"76072090      "</f>
        <v xml:space="preserve">76072090      </v>
      </c>
      <c r="C542" t="s">
        <v>984</v>
      </c>
      <c r="E542" s="3">
        <v>41122</v>
      </c>
      <c r="F542" s="3">
        <v>44562</v>
      </c>
      <c r="G542" t="s">
        <v>974</v>
      </c>
      <c r="H542" t="s">
        <v>985</v>
      </c>
      <c r="I542" t="s">
        <v>986</v>
      </c>
    </row>
    <row r="543" spans="1:9" x14ac:dyDescent="0.25">
      <c r="A543" t="s">
        <v>12</v>
      </c>
      <c r="B543" t="str">
        <f>"76072091      "</f>
        <v xml:space="preserve">76072091      </v>
      </c>
      <c r="C543" t="s">
        <v>987</v>
      </c>
      <c r="D543" t="s">
        <v>988</v>
      </c>
      <c r="E543" s="3">
        <v>44562</v>
      </c>
      <c r="G543" t="s">
        <v>974</v>
      </c>
      <c r="H543" t="s">
        <v>985</v>
      </c>
      <c r="I543" t="s">
        <v>986</v>
      </c>
    </row>
    <row r="544" spans="1:9" x14ac:dyDescent="0.25">
      <c r="A544" t="s">
        <v>12</v>
      </c>
      <c r="B544" t="str">
        <f>"76072099      "</f>
        <v xml:space="preserve">76072099      </v>
      </c>
      <c r="C544" t="s">
        <v>989</v>
      </c>
      <c r="D544" t="s">
        <v>990</v>
      </c>
      <c r="E544" s="3">
        <v>44562</v>
      </c>
      <c r="G544" t="s">
        <v>974</v>
      </c>
      <c r="H544" t="s">
        <v>985</v>
      </c>
      <c r="I544" t="s">
        <v>986</v>
      </c>
    </row>
    <row r="545" spans="1:9" x14ac:dyDescent="0.25">
      <c r="A545" t="s">
        <v>2</v>
      </c>
      <c r="B545" t="str">
        <f>"81039010      "</f>
        <v xml:space="preserve">81039010      </v>
      </c>
      <c r="C545" t="s">
        <v>991</v>
      </c>
      <c r="E545" s="3">
        <v>41122</v>
      </c>
      <c r="F545" s="3">
        <v>44562</v>
      </c>
      <c r="G545" t="s">
        <v>992</v>
      </c>
      <c r="H545" t="s">
        <v>993</v>
      </c>
      <c r="I545" t="s">
        <v>16</v>
      </c>
    </row>
    <row r="546" spans="1:9" x14ac:dyDescent="0.25">
      <c r="A546" t="s">
        <v>2</v>
      </c>
      <c r="B546" t="str">
        <f>"81039090      "</f>
        <v xml:space="preserve">81039090      </v>
      </c>
      <c r="C546" t="s">
        <v>994</v>
      </c>
      <c r="E546" s="3">
        <v>41122</v>
      </c>
      <c r="F546" s="3">
        <v>44562</v>
      </c>
      <c r="G546" t="s">
        <v>992</v>
      </c>
      <c r="H546" t="s">
        <v>993</v>
      </c>
      <c r="I546" t="s">
        <v>16</v>
      </c>
    </row>
    <row r="547" spans="1:9" x14ac:dyDescent="0.25">
      <c r="A547" t="s">
        <v>12</v>
      </c>
      <c r="B547" t="str">
        <f>"81039100      "</f>
        <v xml:space="preserve">81039100      </v>
      </c>
      <c r="C547" t="s">
        <v>995</v>
      </c>
      <c r="D547" t="s">
        <v>996</v>
      </c>
      <c r="E547" s="3">
        <v>44562</v>
      </c>
      <c r="G547" t="s">
        <v>992</v>
      </c>
      <c r="H547" t="s">
        <v>993</v>
      </c>
    </row>
    <row r="548" spans="1:9" x14ac:dyDescent="0.25">
      <c r="A548" t="s">
        <v>12</v>
      </c>
      <c r="B548" t="str">
        <f>"81039910      "</f>
        <v xml:space="preserve">81039910      </v>
      </c>
      <c r="C548" t="s">
        <v>997</v>
      </c>
      <c r="D548" t="s">
        <v>998</v>
      </c>
      <c r="E548" s="3">
        <v>44562</v>
      </c>
      <c r="G548" t="s">
        <v>992</v>
      </c>
      <c r="H548" t="s">
        <v>993</v>
      </c>
    </row>
    <row r="549" spans="1:9" x14ac:dyDescent="0.25">
      <c r="A549" t="s">
        <v>12</v>
      </c>
      <c r="B549" t="str">
        <f>"81039990      "</f>
        <v xml:space="preserve">81039990      </v>
      </c>
      <c r="C549" t="s">
        <v>999</v>
      </c>
      <c r="D549" t="s">
        <v>16</v>
      </c>
      <c r="E549" s="3">
        <v>44562</v>
      </c>
      <c r="G549" t="s">
        <v>992</v>
      </c>
      <c r="H549" t="s">
        <v>993</v>
      </c>
    </row>
    <row r="550" spans="1:9" x14ac:dyDescent="0.25">
      <c r="A550" t="s">
        <v>2</v>
      </c>
      <c r="B550" t="str">
        <f>"81060010      "</f>
        <v xml:space="preserve">81060010      </v>
      </c>
      <c r="C550" t="s">
        <v>1000</v>
      </c>
      <c r="E550" s="3">
        <v>41122</v>
      </c>
      <c r="F550" s="3">
        <v>44562</v>
      </c>
      <c r="G550" t="s">
        <v>992</v>
      </c>
      <c r="H550" t="s">
        <v>1001</v>
      </c>
      <c r="I550" t="s">
        <v>1002</v>
      </c>
    </row>
    <row r="551" spans="1:9" x14ac:dyDescent="0.25">
      <c r="A551" t="s">
        <v>2</v>
      </c>
      <c r="B551" t="str">
        <f>"81060090      "</f>
        <v xml:space="preserve">81060090      </v>
      </c>
      <c r="C551" t="s">
        <v>1003</v>
      </c>
      <c r="E551" s="3">
        <v>41122</v>
      </c>
      <c r="F551" s="3">
        <v>44562</v>
      </c>
      <c r="G551" t="s">
        <v>992</v>
      </c>
      <c r="H551" t="s">
        <v>1001</v>
      </c>
      <c r="I551" t="s">
        <v>1002</v>
      </c>
    </row>
    <row r="552" spans="1:9" x14ac:dyDescent="0.25">
      <c r="A552" t="s">
        <v>12</v>
      </c>
      <c r="B552" t="str">
        <f>"81061010      "</f>
        <v xml:space="preserve">81061010      </v>
      </c>
      <c r="C552" t="s">
        <v>1004</v>
      </c>
      <c r="D552" t="s">
        <v>1005</v>
      </c>
      <c r="E552" s="3">
        <v>44562</v>
      </c>
      <c r="G552" t="s">
        <v>992</v>
      </c>
      <c r="H552" t="s">
        <v>1001</v>
      </c>
    </row>
    <row r="553" spans="1:9" x14ac:dyDescent="0.25">
      <c r="A553" t="s">
        <v>12</v>
      </c>
      <c r="B553" t="str">
        <f>"81061090      "</f>
        <v xml:space="preserve">81061090      </v>
      </c>
      <c r="C553" t="s">
        <v>1006</v>
      </c>
      <c r="D553" t="s">
        <v>16</v>
      </c>
      <c r="E553" s="3">
        <v>44562</v>
      </c>
      <c r="G553" t="s">
        <v>992</v>
      </c>
      <c r="H553" t="s">
        <v>1001</v>
      </c>
    </row>
    <row r="554" spans="1:9" x14ac:dyDescent="0.25">
      <c r="A554" t="s">
        <v>12</v>
      </c>
      <c r="B554" t="str">
        <f>"81069010      "</f>
        <v xml:space="preserve">81069010      </v>
      </c>
      <c r="C554" t="s">
        <v>1007</v>
      </c>
      <c r="D554" t="s">
        <v>1005</v>
      </c>
      <c r="E554" s="3">
        <v>44562</v>
      </c>
      <c r="G554" t="s">
        <v>992</v>
      </c>
      <c r="H554" t="s">
        <v>1001</v>
      </c>
    </row>
    <row r="555" spans="1:9" x14ac:dyDescent="0.25">
      <c r="A555" t="s">
        <v>12</v>
      </c>
      <c r="B555" t="str">
        <f>"81069090      "</f>
        <v xml:space="preserve">81069090      </v>
      </c>
      <c r="C555" t="s">
        <v>1008</v>
      </c>
      <c r="D555" t="s">
        <v>16</v>
      </c>
      <c r="E555" s="3">
        <v>44562</v>
      </c>
      <c r="G555" t="s">
        <v>992</v>
      </c>
      <c r="H555" t="s">
        <v>1001</v>
      </c>
    </row>
    <row r="556" spans="1:9" x14ac:dyDescent="0.25">
      <c r="A556" t="s">
        <v>2</v>
      </c>
      <c r="B556" t="str">
        <f>"81072000      "</f>
        <v xml:space="preserve">81072000      </v>
      </c>
      <c r="C556" t="s">
        <v>1009</v>
      </c>
      <c r="E556" s="3">
        <v>41122</v>
      </c>
      <c r="F556" s="3">
        <v>44562</v>
      </c>
      <c r="G556" t="s">
        <v>992</v>
      </c>
      <c r="I556" t="s">
        <v>1010</v>
      </c>
    </row>
    <row r="557" spans="1:9" x14ac:dyDescent="0.25">
      <c r="A557" t="s">
        <v>2</v>
      </c>
      <c r="B557" t="str">
        <f>"81073000      "</f>
        <v xml:space="preserve">81073000      </v>
      </c>
      <c r="C557" t="s">
        <v>1011</v>
      </c>
      <c r="E557" s="3">
        <v>41122</v>
      </c>
      <c r="F557" s="3">
        <v>44562</v>
      </c>
      <c r="G557" t="s">
        <v>992</v>
      </c>
      <c r="I557" t="s">
        <v>1012</v>
      </c>
    </row>
    <row r="558" spans="1:9" x14ac:dyDescent="0.25">
      <c r="A558" t="s">
        <v>2</v>
      </c>
      <c r="B558" t="str">
        <f>"81079000      "</f>
        <v xml:space="preserve">81079000      </v>
      </c>
      <c r="C558" t="s">
        <v>1013</v>
      </c>
      <c r="E558" s="3">
        <v>41122</v>
      </c>
      <c r="F558" s="3">
        <v>44562</v>
      </c>
      <c r="G558" t="s">
        <v>992</v>
      </c>
      <c r="I558" t="s">
        <v>16</v>
      </c>
    </row>
    <row r="559" spans="1:9" x14ac:dyDescent="0.25">
      <c r="A559" t="s">
        <v>2</v>
      </c>
      <c r="B559" t="str">
        <f>"81092000      "</f>
        <v xml:space="preserve">81092000      </v>
      </c>
      <c r="C559" t="s">
        <v>1014</v>
      </c>
      <c r="E559" s="3">
        <v>41122</v>
      </c>
      <c r="F559" s="3">
        <v>44562</v>
      </c>
      <c r="G559" t="s">
        <v>992</v>
      </c>
      <c r="H559" t="s">
        <v>1015</v>
      </c>
      <c r="I559" t="s">
        <v>1016</v>
      </c>
    </row>
    <row r="560" spans="1:9" x14ac:dyDescent="0.25">
      <c r="A560" t="s">
        <v>12</v>
      </c>
      <c r="B560" t="str">
        <f>"81092100      "</f>
        <v xml:space="preserve">81092100      </v>
      </c>
      <c r="C560" t="s">
        <v>1017</v>
      </c>
      <c r="D560" t="s">
        <v>1018</v>
      </c>
      <c r="E560" s="3">
        <v>44562</v>
      </c>
      <c r="G560" t="s">
        <v>992</v>
      </c>
      <c r="H560" t="s">
        <v>1015</v>
      </c>
    </row>
    <row r="561" spans="1:9" x14ac:dyDescent="0.25">
      <c r="A561" t="s">
        <v>12</v>
      </c>
      <c r="B561" t="str">
        <f>"81092900      "</f>
        <v xml:space="preserve">81092900      </v>
      </c>
      <c r="C561" t="s">
        <v>1019</v>
      </c>
      <c r="D561" t="s">
        <v>1020</v>
      </c>
      <c r="E561" s="3">
        <v>44562</v>
      </c>
      <c r="G561" t="s">
        <v>992</v>
      </c>
      <c r="H561" t="s">
        <v>1015</v>
      </c>
    </row>
    <row r="562" spans="1:9" x14ac:dyDescent="0.25">
      <c r="A562" t="s">
        <v>2</v>
      </c>
      <c r="B562" t="str">
        <f>"81093000      "</f>
        <v xml:space="preserve">81093000      </v>
      </c>
      <c r="C562" t="s">
        <v>1021</v>
      </c>
      <c r="E562" s="3">
        <v>41122</v>
      </c>
      <c r="F562" s="3">
        <v>44562</v>
      </c>
      <c r="G562" t="s">
        <v>992</v>
      </c>
      <c r="H562" t="s">
        <v>1015</v>
      </c>
      <c r="I562" t="s">
        <v>1012</v>
      </c>
    </row>
    <row r="563" spans="1:9" x14ac:dyDescent="0.25">
      <c r="A563" t="s">
        <v>12</v>
      </c>
      <c r="B563" t="str">
        <f>"81093100      "</f>
        <v xml:space="preserve">81093100      </v>
      </c>
      <c r="C563" t="s">
        <v>1022</v>
      </c>
      <c r="D563" t="s">
        <v>1023</v>
      </c>
      <c r="E563" s="3">
        <v>44562</v>
      </c>
      <c r="G563" t="s">
        <v>992</v>
      </c>
      <c r="H563" t="s">
        <v>1015</v>
      </c>
    </row>
    <row r="564" spans="1:9" x14ac:dyDescent="0.25">
      <c r="A564" t="s">
        <v>12</v>
      </c>
      <c r="B564" t="str">
        <f>"81093900      "</f>
        <v xml:space="preserve">81093900      </v>
      </c>
      <c r="C564" t="s">
        <v>1024</v>
      </c>
      <c r="D564" t="s">
        <v>1025</v>
      </c>
      <c r="E564" s="3">
        <v>44562</v>
      </c>
      <c r="G564" t="s">
        <v>992</v>
      </c>
      <c r="H564" t="s">
        <v>1015</v>
      </c>
    </row>
    <row r="565" spans="1:9" x14ac:dyDescent="0.25">
      <c r="A565" t="s">
        <v>2</v>
      </c>
      <c r="B565" t="str">
        <f>"81099000      "</f>
        <v xml:space="preserve">81099000      </v>
      </c>
      <c r="C565" t="s">
        <v>1026</v>
      </c>
      <c r="E565" s="3">
        <v>41122</v>
      </c>
      <c r="F565" s="3">
        <v>44562</v>
      </c>
      <c r="G565" t="s">
        <v>992</v>
      </c>
      <c r="H565" t="s">
        <v>1015</v>
      </c>
      <c r="I565" t="s">
        <v>16</v>
      </c>
    </row>
    <row r="566" spans="1:9" x14ac:dyDescent="0.25">
      <c r="A566" t="s">
        <v>12</v>
      </c>
      <c r="B566" t="str">
        <f>"81099100      "</f>
        <v xml:space="preserve">81099100      </v>
      </c>
      <c r="C566" t="s">
        <v>1027</v>
      </c>
      <c r="D566" t="s">
        <v>1028</v>
      </c>
      <c r="E566" s="3">
        <v>44562</v>
      </c>
      <c r="G566" t="s">
        <v>992</v>
      </c>
      <c r="H566" t="s">
        <v>1015</v>
      </c>
    </row>
    <row r="567" spans="1:9" x14ac:dyDescent="0.25">
      <c r="A567" t="s">
        <v>12</v>
      </c>
      <c r="B567" t="str">
        <f>"81099900      "</f>
        <v xml:space="preserve">81099900      </v>
      </c>
      <c r="C567" t="s">
        <v>1029</v>
      </c>
      <c r="D567" t="s">
        <v>78</v>
      </c>
      <c r="E567" s="3">
        <v>44562</v>
      </c>
      <c r="G567" t="s">
        <v>992</v>
      </c>
      <c r="H567" t="s">
        <v>1015</v>
      </c>
    </row>
    <row r="568" spans="1:9" x14ac:dyDescent="0.25">
      <c r="A568" t="s">
        <v>12</v>
      </c>
      <c r="B568" t="str">
        <f>"81123100      "</f>
        <v xml:space="preserve">81123100      </v>
      </c>
      <c r="C568" t="s">
        <v>1030</v>
      </c>
      <c r="D568" t="s">
        <v>1031</v>
      </c>
      <c r="E568" s="3">
        <v>44562</v>
      </c>
      <c r="G568" t="s">
        <v>992</v>
      </c>
      <c r="H568" t="s">
        <v>1032</v>
      </c>
    </row>
    <row r="569" spans="1:9" x14ac:dyDescent="0.25">
      <c r="A569" t="s">
        <v>12</v>
      </c>
      <c r="B569" t="str">
        <f>"81123900      "</f>
        <v xml:space="preserve">81123900      </v>
      </c>
      <c r="C569" t="s">
        <v>1033</v>
      </c>
      <c r="D569" t="s">
        <v>1034</v>
      </c>
      <c r="E569" s="3">
        <v>44562</v>
      </c>
      <c r="G569" t="s">
        <v>992</v>
      </c>
      <c r="H569" t="s">
        <v>1032</v>
      </c>
    </row>
    <row r="570" spans="1:9" x14ac:dyDescent="0.25">
      <c r="A570" t="s">
        <v>12</v>
      </c>
      <c r="B570" t="str">
        <f>"81124110      "</f>
        <v xml:space="preserve">81124110      </v>
      </c>
      <c r="C570" t="s">
        <v>1035</v>
      </c>
      <c r="D570" t="s">
        <v>1012</v>
      </c>
      <c r="E570" s="3">
        <v>44562</v>
      </c>
      <c r="G570" t="s">
        <v>992</v>
      </c>
      <c r="H570" t="s">
        <v>1032</v>
      </c>
    </row>
    <row r="571" spans="1:9" x14ac:dyDescent="0.25">
      <c r="A571" t="s">
        <v>12</v>
      </c>
      <c r="B571" t="str">
        <f>"81124190      "</f>
        <v xml:space="preserve">81124190      </v>
      </c>
      <c r="C571" t="s">
        <v>1036</v>
      </c>
      <c r="D571" t="s">
        <v>16</v>
      </c>
      <c r="E571" s="3">
        <v>44562</v>
      </c>
      <c r="G571" t="s">
        <v>992</v>
      </c>
      <c r="H571" t="s">
        <v>1032</v>
      </c>
    </row>
    <row r="572" spans="1:9" x14ac:dyDescent="0.25">
      <c r="A572" t="s">
        <v>12</v>
      </c>
      <c r="B572" t="str">
        <f>"81124900      "</f>
        <v xml:space="preserve">81124900      </v>
      </c>
      <c r="C572" t="s">
        <v>1037</v>
      </c>
      <c r="D572" t="s">
        <v>1038</v>
      </c>
      <c r="E572" s="3">
        <v>44562</v>
      </c>
      <c r="G572" t="s">
        <v>992</v>
      </c>
      <c r="H572" t="s">
        <v>1032</v>
      </c>
    </row>
    <row r="573" spans="1:9" x14ac:dyDescent="0.25">
      <c r="A573" t="s">
        <v>12</v>
      </c>
      <c r="B573" t="str">
        <f>"81126100      "</f>
        <v xml:space="preserve">81126100      </v>
      </c>
      <c r="C573" t="s">
        <v>1039</v>
      </c>
      <c r="D573" t="s">
        <v>1040</v>
      </c>
      <c r="E573" s="3">
        <v>44562</v>
      </c>
      <c r="G573" t="s">
        <v>992</v>
      </c>
      <c r="H573" t="s">
        <v>1032</v>
      </c>
    </row>
    <row r="574" spans="1:9" x14ac:dyDescent="0.25">
      <c r="A574" t="s">
        <v>12</v>
      </c>
      <c r="B574" t="str">
        <f>"81126910      "</f>
        <v xml:space="preserve">81126910      </v>
      </c>
      <c r="C574" t="s">
        <v>1041</v>
      </c>
      <c r="D574" t="s">
        <v>1010</v>
      </c>
      <c r="E574" s="3">
        <v>44562</v>
      </c>
      <c r="G574" t="s">
        <v>992</v>
      </c>
      <c r="H574" t="s">
        <v>1032</v>
      </c>
    </row>
    <row r="575" spans="1:9" x14ac:dyDescent="0.25">
      <c r="A575" t="s">
        <v>12</v>
      </c>
      <c r="B575" t="str">
        <f>"81126990      "</f>
        <v xml:space="preserve">81126990      </v>
      </c>
      <c r="C575" t="s">
        <v>1042</v>
      </c>
      <c r="D575" t="s">
        <v>16</v>
      </c>
      <c r="E575" s="3">
        <v>44562</v>
      </c>
      <c r="G575" t="s">
        <v>992</v>
      </c>
      <c r="H575" t="s">
        <v>1032</v>
      </c>
    </row>
    <row r="576" spans="1:9" x14ac:dyDescent="0.25">
      <c r="A576" t="s">
        <v>2</v>
      </c>
      <c r="B576" t="str">
        <f>"81129210      "</f>
        <v xml:space="preserve">81129210      </v>
      </c>
      <c r="C576" t="s">
        <v>1043</v>
      </c>
      <c r="E576" s="3">
        <v>41122</v>
      </c>
      <c r="F576" s="3">
        <v>44562</v>
      </c>
      <c r="G576" t="s">
        <v>992</v>
      </c>
      <c r="H576" t="s">
        <v>1032</v>
      </c>
      <c r="I576" t="s">
        <v>1044</v>
      </c>
    </row>
    <row r="577" spans="1:9" x14ac:dyDescent="0.25">
      <c r="A577" t="s">
        <v>2</v>
      </c>
      <c r="B577" t="str">
        <f>"81129231      "</f>
        <v xml:space="preserve">81129231      </v>
      </c>
      <c r="C577" t="s">
        <v>1045</v>
      </c>
      <c r="E577" s="3">
        <v>41122</v>
      </c>
      <c r="F577" s="3">
        <v>44562</v>
      </c>
      <c r="G577" t="s">
        <v>992</v>
      </c>
      <c r="H577" t="s">
        <v>1032</v>
      </c>
      <c r="I577" t="s">
        <v>1044</v>
      </c>
    </row>
    <row r="578" spans="1:9" x14ac:dyDescent="0.25">
      <c r="A578" t="s">
        <v>12</v>
      </c>
      <c r="B578" t="str">
        <f>"81129240      "</f>
        <v xml:space="preserve">81129240      </v>
      </c>
      <c r="C578" t="s">
        <v>1046</v>
      </c>
      <c r="D578" t="s">
        <v>1047</v>
      </c>
      <c r="E578" s="3">
        <v>44562</v>
      </c>
      <c r="G578" t="s">
        <v>992</v>
      </c>
      <c r="H578" t="s">
        <v>1032</v>
      </c>
      <c r="I578" t="s">
        <v>1044</v>
      </c>
    </row>
    <row r="579" spans="1:9" x14ac:dyDescent="0.25">
      <c r="A579" t="s">
        <v>2</v>
      </c>
      <c r="B579" t="str">
        <f>"81129920      "</f>
        <v xml:space="preserve">81129920      </v>
      </c>
      <c r="C579" t="s">
        <v>1048</v>
      </c>
      <c r="E579" s="3">
        <v>41122</v>
      </c>
      <c r="F579" s="3">
        <v>44562</v>
      </c>
      <c r="G579" t="s">
        <v>992</v>
      </c>
      <c r="H579" t="s">
        <v>1032</v>
      </c>
      <c r="I579" t="s">
        <v>642</v>
      </c>
    </row>
    <row r="580" spans="1:9" x14ac:dyDescent="0.25">
      <c r="A580" t="s">
        <v>2</v>
      </c>
      <c r="B580" t="str">
        <f>"81129930      "</f>
        <v xml:space="preserve">81129930      </v>
      </c>
      <c r="C580" t="s">
        <v>1049</v>
      </c>
      <c r="E580" s="3">
        <v>41122</v>
      </c>
      <c r="F580" s="3">
        <v>44562</v>
      </c>
      <c r="G580" t="s">
        <v>992</v>
      </c>
      <c r="H580" t="s">
        <v>1032</v>
      </c>
      <c r="I580" t="s">
        <v>642</v>
      </c>
    </row>
    <row r="581" spans="1:9" x14ac:dyDescent="0.25">
      <c r="A581" t="s">
        <v>12</v>
      </c>
      <c r="B581" t="str">
        <f>"81129940      "</f>
        <v xml:space="preserve">81129940      </v>
      </c>
      <c r="C581" t="s">
        <v>1050</v>
      </c>
      <c r="D581" t="s">
        <v>1051</v>
      </c>
      <c r="E581" s="3">
        <v>44562</v>
      </c>
      <c r="G581" t="s">
        <v>992</v>
      </c>
      <c r="H581" t="s">
        <v>1032</v>
      </c>
      <c r="I581" t="s">
        <v>642</v>
      </c>
    </row>
    <row r="582" spans="1:9" x14ac:dyDescent="0.25">
      <c r="A582" t="s">
        <v>12</v>
      </c>
      <c r="B582" t="str">
        <f>"81129950      "</f>
        <v xml:space="preserve">81129950      </v>
      </c>
      <c r="C582" t="s">
        <v>1052</v>
      </c>
      <c r="D582" t="s">
        <v>1053</v>
      </c>
      <c r="E582" s="3">
        <v>44562</v>
      </c>
      <c r="G582" t="s">
        <v>992</v>
      </c>
      <c r="H582" t="s">
        <v>1032</v>
      </c>
      <c r="I582" t="s">
        <v>642</v>
      </c>
    </row>
    <row r="583" spans="1:9" x14ac:dyDescent="0.25">
      <c r="A583" t="s">
        <v>12</v>
      </c>
      <c r="B583" t="str">
        <f>"84147000      "</f>
        <v xml:space="preserve">84147000      </v>
      </c>
      <c r="C583" t="s">
        <v>1054</v>
      </c>
      <c r="D583" t="s">
        <v>1055</v>
      </c>
      <c r="E583" s="3">
        <v>44562</v>
      </c>
      <c r="G583" t="s">
        <v>1056</v>
      </c>
      <c r="H583" t="s">
        <v>1057</v>
      </c>
    </row>
    <row r="584" spans="1:9" x14ac:dyDescent="0.25">
      <c r="A584" t="s">
        <v>12</v>
      </c>
      <c r="B584" t="str">
        <f>"84191200      "</f>
        <v xml:space="preserve">84191200      </v>
      </c>
      <c r="C584" t="s">
        <v>1058</v>
      </c>
      <c r="D584" t="s">
        <v>1059</v>
      </c>
      <c r="E584" s="3">
        <v>44562</v>
      </c>
      <c r="G584" t="s">
        <v>1056</v>
      </c>
      <c r="H584" t="s">
        <v>1060</v>
      </c>
      <c r="I584" t="s">
        <v>1061</v>
      </c>
    </row>
    <row r="585" spans="1:9" x14ac:dyDescent="0.25">
      <c r="A585" t="s">
        <v>2</v>
      </c>
      <c r="B585" t="str">
        <f>"84193100      "</f>
        <v xml:space="preserve">84193100      </v>
      </c>
      <c r="C585" t="s">
        <v>1062</v>
      </c>
      <c r="E585" s="3">
        <v>41122</v>
      </c>
      <c r="F585" s="3">
        <v>44562</v>
      </c>
      <c r="G585" t="s">
        <v>1056</v>
      </c>
      <c r="H585" t="s">
        <v>1060</v>
      </c>
      <c r="I585" t="s">
        <v>1063</v>
      </c>
    </row>
    <row r="586" spans="1:9" x14ac:dyDescent="0.25">
      <c r="A586" t="s">
        <v>2</v>
      </c>
      <c r="B586" t="str">
        <f>"84193200      "</f>
        <v xml:space="preserve">84193200      </v>
      </c>
      <c r="C586" t="s">
        <v>1064</v>
      </c>
      <c r="E586" s="3">
        <v>41122</v>
      </c>
      <c r="F586" s="3">
        <v>44562</v>
      </c>
      <c r="G586" t="s">
        <v>1056</v>
      </c>
      <c r="H586" t="s">
        <v>1060</v>
      </c>
      <c r="I586" t="s">
        <v>1065</v>
      </c>
    </row>
    <row r="587" spans="1:9" x14ac:dyDescent="0.25">
      <c r="A587" t="s">
        <v>12</v>
      </c>
      <c r="B587" t="str">
        <f>"84193300      "</f>
        <v xml:space="preserve">84193300      </v>
      </c>
      <c r="C587" t="s">
        <v>1066</v>
      </c>
      <c r="D587" t="s">
        <v>1067</v>
      </c>
      <c r="E587" s="3">
        <v>44562</v>
      </c>
      <c r="G587" t="s">
        <v>1056</v>
      </c>
      <c r="H587" t="s">
        <v>1060</v>
      </c>
      <c r="I587" t="s">
        <v>1068</v>
      </c>
    </row>
    <row r="588" spans="1:9" x14ac:dyDescent="0.25">
      <c r="A588" t="s">
        <v>12</v>
      </c>
      <c r="B588" t="str">
        <f>"84193400      "</f>
        <v xml:space="preserve">84193400      </v>
      </c>
      <c r="C588" t="s">
        <v>1069</v>
      </c>
      <c r="D588" t="s">
        <v>1070</v>
      </c>
      <c r="E588" s="3">
        <v>44562</v>
      </c>
      <c r="G588" t="s">
        <v>1056</v>
      </c>
      <c r="H588" t="s">
        <v>1060</v>
      </c>
      <c r="I588" t="s">
        <v>1068</v>
      </c>
    </row>
    <row r="589" spans="1:9" x14ac:dyDescent="0.25">
      <c r="A589" t="s">
        <v>12</v>
      </c>
      <c r="B589" t="str">
        <f>"84193500      "</f>
        <v xml:space="preserve">84193500      </v>
      </c>
      <c r="C589" t="s">
        <v>1071</v>
      </c>
      <c r="D589" t="s">
        <v>1072</v>
      </c>
      <c r="E589" s="3">
        <v>44562</v>
      </c>
      <c r="G589" t="s">
        <v>1056</v>
      </c>
      <c r="H589" t="s">
        <v>1060</v>
      </c>
      <c r="I589" t="s">
        <v>1068</v>
      </c>
    </row>
    <row r="590" spans="1:9" x14ac:dyDescent="0.25">
      <c r="A590" t="s">
        <v>12</v>
      </c>
      <c r="B590" t="str">
        <f>"84213200      "</f>
        <v xml:space="preserve">84213200      </v>
      </c>
      <c r="C590" t="s">
        <v>1073</v>
      </c>
      <c r="D590" t="s">
        <v>1074</v>
      </c>
      <c r="E590" s="3">
        <v>44562</v>
      </c>
      <c r="G590" t="s">
        <v>1056</v>
      </c>
      <c r="H590" t="s">
        <v>1075</v>
      </c>
      <c r="I590" t="s">
        <v>1076</v>
      </c>
    </row>
    <row r="591" spans="1:9" x14ac:dyDescent="0.25">
      <c r="A591" t="s">
        <v>12</v>
      </c>
      <c r="B591" t="str">
        <f>"84287000      "</f>
        <v xml:space="preserve">84287000      </v>
      </c>
      <c r="C591" t="s">
        <v>1077</v>
      </c>
      <c r="D591" t="s">
        <v>1078</v>
      </c>
      <c r="E591" s="3">
        <v>44562</v>
      </c>
      <c r="G591" t="s">
        <v>1056</v>
      </c>
      <c r="H591" t="s">
        <v>1079</v>
      </c>
    </row>
    <row r="592" spans="1:9" x14ac:dyDescent="0.25">
      <c r="A592" t="s">
        <v>2</v>
      </c>
      <c r="B592" t="str">
        <f>"84621010      "</f>
        <v xml:space="preserve">84621010      </v>
      </c>
      <c r="C592" t="s">
        <v>1080</v>
      </c>
      <c r="E592" s="3">
        <v>41122</v>
      </c>
      <c r="F592" s="3">
        <v>44562</v>
      </c>
      <c r="G592" t="s">
        <v>1056</v>
      </c>
      <c r="H592" t="s">
        <v>1081</v>
      </c>
      <c r="I592" t="s">
        <v>1082</v>
      </c>
    </row>
    <row r="593" spans="1:9" x14ac:dyDescent="0.25">
      <c r="A593" t="s">
        <v>2</v>
      </c>
      <c r="B593" t="str">
        <f>"84621090      "</f>
        <v xml:space="preserve">84621090      </v>
      </c>
      <c r="C593" t="s">
        <v>1083</v>
      </c>
      <c r="E593" s="3">
        <v>41122</v>
      </c>
      <c r="F593" s="3">
        <v>44562</v>
      </c>
      <c r="G593" t="s">
        <v>1056</v>
      </c>
      <c r="H593" t="s">
        <v>1081</v>
      </c>
      <c r="I593" t="s">
        <v>1082</v>
      </c>
    </row>
    <row r="594" spans="1:9" x14ac:dyDescent="0.25">
      <c r="A594" t="s">
        <v>12</v>
      </c>
      <c r="B594" t="str">
        <f>"84621110      "</f>
        <v xml:space="preserve">84621110      </v>
      </c>
      <c r="C594" t="s">
        <v>1084</v>
      </c>
      <c r="D594" t="s">
        <v>1085</v>
      </c>
      <c r="E594" s="3">
        <v>44562</v>
      </c>
      <c r="G594" t="s">
        <v>1056</v>
      </c>
      <c r="H594" t="s">
        <v>1081</v>
      </c>
    </row>
    <row r="595" spans="1:9" x14ac:dyDescent="0.25">
      <c r="A595" t="s">
        <v>12</v>
      </c>
      <c r="B595" t="str">
        <f>"84621190      "</f>
        <v xml:space="preserve">84621190      </v>
      </c>
      <c r="C595" t="s">
        <v>1086</v>
      </c>
      <c r="D595" t="s">
        <v>16</v>
      </c>
      <c r="E595" s="3">
        <v>44562</v>
      </c>
      <c r="G595" t="s">
        <v>1056</v>
      </c>
      <c r="H595" t="s">
        <v>1081</v>
      </c>
    </row>
    <row r="596" spans="1:9" x14ac:dyDescent="0.25">
      <c r="A596" t="s">
        <v>12</v>
      </c>
      <c r="B596" t="str">
        <f>"84621910      "</f>
        <v xml:space="preserve">84621910      </v>
      </c>
      <c r="C596" t="s">
        <v>1087</v>
      </c>
      <c r="D596" t="s">
        <v>1085</v>
      </c>
      <c r="E596" s="3">
        <v>44562</v>
      </c>
      <c r="G596" t="s">
        <v>1056</v>
      </c>
      <c r="H596" t="s">
        <v>1081</v>
      </c>
    </row>
    <row r="597" spans="1:9" x14ac:dyDescent="0.25">
      <c r="A597" t="s">
        <v>12</v>
      </c>
      <c r="B597" t="str">
        <f>"84621990      "</f>
        <v xml:space="preserve">84621990      </v>
      </c>
      <c r="C597" t="s">
        <v>1088</v>
      </c>
      <c r="D597" t="s">
        <v>16</v>
      </c>
      <c r="E597" s="3">
        <v>44562</v>
      </c>
      <c r="G597" t="s">
        <v>1056</v>
      </c>
      <c r="H597" t="s">
        <v>1081</v>
      </c>
    </row>
    <row r="598" spans="1:9" x14ac:dyDescent="0.25">
      <c r="A598" t="s">
        <v>2</v>
      </c>
      <c r="B598" t="str">
        <f>"84622110      "</f>
        <v xml:space="preserve">84622110      </v>
      </c>
      <c r="C598" t="s">
        <v>1089</v>
      </c>
      <c r="E598" s="3">
        <v>41122</v>
      </c>
      <c r="F598" s="3">
        <v>44562</v>
      </c>
      <c r="G598" t="s">
        <v>1056</v>
      </c>
      <c r="H598" t="s">
        <v>1081</v>
      </c>
      <c r="I598" t="s">
        <v>1090</v>
      </c>
    </row>
    <row r="599" spans="1:9" x14ac:dyDescent="0.25">
      <c r="A599" t="s">
        <v>2</v>
      </c>
      <c r="B599" t="str">
        <f>"84622180      "</f>
        <v xml:space="preserve">84622180      </v>
      </c>
      <c r="C599" t="s">
        <v>1091</v>
      </c>
      <c r="E599" s="3">
        <v>41122</v>
      </c>
      <c r="F599" s="3">
        <v>44562</v>
      </c>
      <c r="G599" t="s">
        <v>1056</v>
      </c>
      <c r="H599" t="s">
        <v>1081</v>
      </c>
      <c r="I599" t="s">
        <v>1090</v>
      </c>
    </row>
    <row r="600" spans="1:9" x14ac:dyDescent="0.25">
      <c r="A600" t="s">
        <v>12</v>
      </c>
      <c r="B600" t="str">
        <f>"84622210      "</f>
        <v xml:space="preserve">84622210      </v>
      </c>
      <c r="C600" t="s">
        <v>1092</v>
      </c>
      <c r="D600" t="s">
        <v>1085</v>
      </c>
      <c r="E600" s="3">
        <v>44562</v>
      </c>
      <c r="G600" t="s">
        <v>1056</v>
      </c>
      <c r="H600" t="s">
        <v>1081</v>
      </c>
      <c r="I600" t="s">
        <v>1093</v>
      </c>
    </row>
    <row r="601" spans="1:9" x14ac:dyDescent="0.25">
      <c r="A601" t="s">
        <v>12</v>
      </c>
      <c r="B601" t="str">
        <f>"84622290      "</f>
        <v xml:space="preserve">84622290      </v>
      </c>
      <c r="C601" t="s">
        <v>1094</v>
      </c>
      <c r="D601" t="s">
        <v>16</v>
      </c>
      <c r="E601" s="3">
        <v>44562</v>
      </c>
      <c r="G601" t="s">
        <v>1056</v>
      </c>
      <c r="H601" t="s">
        <v>1081</v>
      </c>
      <c r="I601" t="s">
        <v>1093</v>
      </c>
    </row>
    <row r="602" spans="1:9" x14ac:dyDescent="0.25">
      <c r="A602" t="s">
        <v>12</v>
      </c>
      <c r="B602" t="str">
        <f>"84622300      "</f>
        <v xml:space="preserve">84622300      </v>
      </c>
      <c r="C602" t="s">
        <v>1095</v>
      </c>
      <c r="D602" t="s">
        <v>1096</v>
      </c>
      <c r="E602" s="3">
        <v>44562</v>
      </c>
      <c r="G602" t="s">
        <v>1056</v>
      </c>
      <c r="H602" t="s">
        <v>1081</v>
      </c>
      <c r="I602" t="s">
        <v>1093</v>
      </c>
    </row>
    <row r="603" spans="1:9" x14ac:dyDescent="0.25">
      <c r="A603" t="s">
        <v>12</v>
      </c>
      <c r="B603" t="str">
        <f>"84622400      "</f>
        <v xml:space="preserve">84622400      </v>
      </c>
      <c r="C603" t="s">
        <v>1097</v>
      </c>
      <c r="D603" t="s">
        <v>1098</v>
      </c>
      <c r="E603" s="3">
        <v>44562</v>
      </c>
      <c r="G603" t="s">
        <v>1056</v>
      </c>
      <c r="H603" t="s">
        <v>1081</v>
      </c>
      <c r="I603" t="s">
        <v>1093</v>
      </c>
    </row>
    <row r="604" spans="1:9" x14ac:dyDescent="0.25">
      <c r="A604" t="s">
        <v>12</v>
      </c>
      <c r="B604" t="str">
        <f>"84622500      "</f>
        <v xml:space="preserve">84622500      </v>
      </c>
      <c r="C604" t="s">
        <v>1099</v>
      </c>
      <c r="D604" t="s">
        <v>1100</v>
      </c>
      <c r="E604" s="3">
        <v>44562</v>
      </c>
      <c r="G604" t="s">
        <v>1056</v>
      </c>
      <c r="H604" t="s">
        <v>1081</v>
      </c>
      <c r="I604" t="s">
        <v>1093</v>
      </c>
    </row>
    <row r="605" spans="1:9" x14ac:dyDescent="0.25">
      <c r="A605" t="s">
        <v>12</v>
      </c>
      <c r="B605" t="str">
        <f>"84622600      "</f>
        <v xml:space="preserve">84622600      </v>
      </c>
      <c r="C605" t="s">
        <v>1101</v>
      </c>
      <c r="D605" t="s">
        <v>1102</v>
      </c>
      <c r="E605" s="3">
        <v>44562</v>
      </c>
      <c r="G605" t="s">
        <v>1056</v>
      </c>
      <c r="H605" t="s">
        <v>1081</v>
      </c>
      <c r="I605" t="s">
        <v>1093</v>
      </c>
    </row>
    <row r="606" spans="1:9" x14ac:dyDescent="0.25">
      <c r="A606" t="s">
        <v>12</v>
      </c>
      <c r="B606" t="str">
        <f>"84622990      "</f>
        <v xml:space="preserve">84622990      </v>
      </c>
      <c r="C606" t="s">
        <v>1103</v>
      </c>
      <c r="D606" t="s">
        <v>16</v>
      </c>
      <c r="E606" s="3">
        <v>44562</v>
      </c>
      <c r="G606" t="s">
        <v>1056</v>
      </c>
      <c r="H606" t="s">
        <v>1081</v>
      </c>
      <c r="I606" t="s">
        <v>1104</v>
      </c>
    </row>
    <row r="607" spans="1:9" x14ac:dyDescent="0.25">
      <c r="A607" t="s">
        <v>2</v>
      </c>
      <c r="B607" t="str">
        <f>"84622991      "</f>
        <v xml:space="preserve">84622991      </v>
      </c>
      <c r="C607" t="s">
        <v>1105</v>
      </c>
      <c r="E607" s="3">
        <v>41122</v>
      </c>
      <c r="F607" s="3">
        <v>44562</v>
      </c>
      <c r="G607" t="s">
        <v>1056</v>
      </c>
      <c r="H607" t="s">
        <v>1081</v>
      </c>
      <c r="I607" t="s">
        <v>1104</v>
      </c>
    </row>
    <row r="608" spans="1:9" x14ac:dyDescent="0.25">
      <c r="A608" t="s">
        <v>2</v>
      </c>
      <c r="B608" t="str">
        <f>"84622998      "</f>
        <v xml:space="preserve">84622998      </v>
      </c>
      <c r="C608" t="s">
        <v>1106</v>
      </c>
      <c r="E608" s="3">
        <v>41122</v>
      </c>
      <c r="F608" s="3">
        <v>44562</v>
      </c>
      <c r="G608" t="s">
        <v>1056</v>
      </c>
      <c r="H608" t="s">
        <v>1081</v>
      </c>
      <c r="I608" t="s">
        <v>1104</v>
      </c>
    </row>
    <row r="609" spans="1:9" x14ac:dyDescent="0.25">
      <c r="A609" t="s">
        <v>2</v>
      </c>
      <c r="B609" t="str">
        <f>"84623100      "</f>
        <v xml:space="preserve">84623100      </v>
      </c>
      <c r="C609" t="s">
        <v>1107</v>
      </c>
      <c r="E609" s="3">
        <v>41122</v>
      </c>
      <c r="F609" s="3">
        <v>44562</v>
      </c>
      <c r="G609" t="s">
        <v>1056</v>
      </c>
      <c r="H609" t="s">
        <v>1081</v>
      </c>
      <c r="I609" t="s">
        <v>1108</v>
      </c>
    </row>
    <row r="610" spans="1:9" x14ac:dyDescent="0.25">
      <c r="A610" t="s">
        <v>12</v>
      </c>
      <c r="B610" t="str">
        <f>"84623210      "</f>
        <v xml:space="preserve">84623210      </v>
      </c>
      <c r="C610" t="s">
        <v>1109</v>
      </c>
      <c r="D610" t="s">
        <v>1085</v>
      </c>
      <c r="E610" s="3">
        <v>44562</v>
      </c>
      <c r="G610" t="s">
        <v>1056</v>
      </c>
      <c r="H610" t="s">
        <v>1081</v>
      </c>
      <c r="I610" t="s">
        <v>1110</v>
      </c>
    </row>
    <row r="611" spans="1:9" x14ac:dyDescent="0.25">
      <c r="A611" t="s">
        <v>12</v>
      </c>
      <c r="B611" t="str">
        <f>"84623290      "</f>
        <v xml:space="preserve">84623290      </v>
      </c>
      <c r="C611" t="s">
        <v>1111</v>
      </c>
      <c r="D611" t="s">
        <v>16</v>
      </c>
      <c r="E611" s="3">
        <v>44562</v>
      </c>
      <c r="G611" t="s">
        <v>1056</v>
      </c>
      <c r="H611" t="s">
        <v>1081</v>
      </c>
      <c r="I611" t="s">
        <v>1110</v>
      </c>
    </row>
    <row r="612" spans="1:9" x14ac:dyDescent="0.25">
      <c r="A612" t="s">
        <v>12</v>
      </c>
      <c r="B612" t="str">
        <f>"84623300      "</f>
        <v xml:space="preserve">84623300      </v>
      </c>
      <c r="C612" t="s">
        <v>1112</v>
      </c>
      <c r="D612" t="s">
        <v>1113</v>
      </c>
      <c r="E612" s="3">
        <v>44562</v>
      </c>
      <c r="G612" t="s">
        <v>1056</v>
      </c>
      <c r="H612" t="s">
        <v>1081</v>
      </c>
      <c r="I612" t="s">
        <v>1110</v>
      </c>
    </row>
    <row r="613" spans="1:9" x14ac:dyDescent="0.25">
      <c r="A613" t="s">
        <v>12</v>
      </c>
      <c r="B613" t="str">
        <f>"84623900      "</f>
        <v xml:space="preserve">84623900      </v>
      </c>
      <c r="C613" t="s">
        <v>1114</v>
      </c>
      <c r="D613" t="s">
        <v>1115</v>
      </c>
      <c r="E613" s="3">
        <v>44562</v>
      </c>
      <c r="G613" t="s">
        <v>1056</v>
      </c>
      <c r="H613" t="s">
        <v>1081</v>
      </c>
      <c r="I613" t="s">
        <v>1116</v>
      </c>
    </row>
    <row r="614" spans="1:9" x14ac:dyDescent="0.25">
      <c r="A614" t="s">
        <v>2</v>
      </c>
      <c r="B614" t="str">
        <f>"84623910      "</f>
        <v xml:space="preserve">84623910      </v>
      </c>
      <c r="C614" t="s">
        <v>1117</v>
      </c>
      <c r="E614" s="3">
        <v>41122</v>
      </c>
      <c r="F614" s="3">
        <v>44562</v>
      </c>
      <c r="G614" t="s">
        <v>1056</v>
      </c>
      <c r="H614" t="s">
        <v>1081</v>
      </c>
      <c r="I614" t="s">
        <v>1116</v>
      </c>
    </row>
    <row r="615" spans="1:9" x14ac:dyDescent="0.25">
      <c r="A615" t="s">
        <v>2</v>
      </c>
      <c r="B615" t="str">
        <f>"84623991      "</f>
        <v xml:space="preserve">84623991      </v>
      </c>
      <c r="C615" t="s">
        <v>1118</v>
      </c>
      <c r="E615" s="3">
        <v>41122</v>
      </c>
      <c r="F615" s="3">
        <v>44562</v>
      </c>
      <c r="G615" t="s">
        <v>1056</v>
      </c>
      <c r="H615" t="s">
        <v>1081</v>
      </c>
      <c r="I615" t="s">
        <v>1116</v>
      </c>
    </row>
    <row r="616" spans="1:9" x14ac:dyDescent="0.25">
      <c r="A616" t="s">
        <v>2</v>
      </c>
      <c r="B616" t="str">
        <f>"84623999      "</f>
        <v xml:space="preserve">84623999      </v>
      </c>
      <c r="C616" t="s">
        <v>1119</v>
      </c>
      <c r="E616" s="3">
        <v>41122</v>
      </c>
      <c r="F616" s="3">
        <v>44562</v>
      </c>
      <c r="G616" t="s">
        <v>1056</v>
      </c>
      <c r="H616" t="s">
        <v>1081</v>
      </c>
      <c r="I616" t="s">
        <v>1116</v>
      </c>
    </row>
    <row r="617" spans="1:9" x14ac:dyDescent="0.25">
      <c r="A617" t="s">
        <v>2</v>
      </c>
      <c r="B617" t="str">
        <f>"84624110      "</f>
        <v xml:space="preserve">84624110      </v>
      </c>
      <c r="C617" t="s">
        <v>1120</v>
      </c>
      <c r="E617" s="3">
        <v>41122</v>
      </c>
      <c r="F617" s="3">
        <v>44562</v>
      </c>
      <c r="G617" t="s">
        <v>1056</v>
      </c>
      <c r="H617" t="s">
        <v>1081</v>
      </c>
      <c r="I617" t="s">
        <v>1121</v>
      </c>
    </row>
    <row r="618" spans="1:9" x14ac:dyDescent="0.25">
      <c r="A618" t="s">
        <v>2</v>
      </c>
      <c r="B618" t="str">
        <f>"84624190      "</f>
        <v xml:space="preserve">84624190      </v>
      </c>
      <c r="C618" t="s">
        <v>1122</v>
      </c>
      <c r="E618" s="3">
        <v>41122</v>
      </c>
      <c r="F618" s="3">
        <v>44562</v>
      </c>
      <c r="G618" t="s">
        <v>1056</v>
      </c>
      <c r="H618" t="s">
        <v>1081</v>
      </c>
      <c r="I618" t="s">
        <v>1121</v>
      </c>
    </row>
    <row r="619" spans="1:9" x14ac:dyDescent="0.25">
      <c r="A619" t="s">
        <v>12</v>
      </c>
      <c r="B619" t="str">
        <f>"84624200      "</f>
        <v xml:space="preserve">84624200      </v>
      </c>
      <c r="C619" t="s">
        <v>1123</v>
      </c>
      <c r="D619" t="s">
        <v>1124</v>
      </c>
      <c r="E619" s="3">
        <v>44562</v>
      </c>
      <c r="G619" t="s">
        <v>1056</v>
      </c>
      <c r="H619" t="s">
        <v>1081</v>
      </c>
      <c r="I619" t="s">
        <v>1125</v>
      </c>
    </row>
    <row r="620" spans="1:9" x14ac:dyDescent="0.25">
      <c r="A620" t="s">
        <v>12</v>
      </c>
      <c r="B620" t="str">
        <f>"84624900      "</f>
        <v xml:space="preserve">84624900      </v>
      </c>
      <c r="C620" t="s">
        <v>1126</v>
      </c>
      <c r="D620" t="s">
        <v>1127</v>
      </c>
      <c r="E620" s="3">
        <v>44562</v>
      </c>
      <c r="G620" t="s">
        <v>1056</v>
      </c>
      <c r="H620" t="s">
        <v>1081</v>
      </c>
      <c r="I620" t="s">
        <v>1128</v>
      </c>
    </row>
    <row r="621" spans="1:9" x14ac:dyDescent="0.25">
      <c r="A621" t="s">
        <v>2</v>
      </c>
      <c r="B621" t="str">
        <f>"84624910      "</f>
        <v xml:space="preserve">84624910      </v>
      </c>
      <c r="C621" t="s">
        <v>1129</v>
      </c>
      <c r="E621" s="3">
        <v>41122</v>
      </c>
      <c r="F621" s="3">
        <v>44562</v>
      </c>
      <c r="G621" t="s">
        <v>1056</v>
      </c>
      <c r="H621" t="s">
        <v>1081</v>
      </c>
      <c r="I621" t="s">
        <v>1128</v>
      </c>
    </row>
    <row r="622" spans="1:9" x14ac:dyDescent="0.25">
      <c r="A622" t="s">
        <v>2</v>
      </c>
      <c r="B622" t="str">
        <f>"84624990      "</f>
        <v xml:space="preserve">84624990      </v>
      </c>
      <c r="C622" t="s">
        <v>1130</v>
      </c>
      <c r="E622" s="3">
        <v>41122</v>
      </c>
      <c r="F622" s="3">
        <v>44562</v>
      </c>
      <c r="G622" t="s">
        <v>1056</v>
      </c>
      <c r="H622" t="s">
        <v>1081</v>
      </c>
      <c r="I622" t="s">
        <v>1128</v>
      </c>
    </row>
    <row r="623" spans="1:9" x14ac:dyDescent="0.25">
      <c r="A623" t="s">
        <v>12</v>
      </c>
      <c r="B623" t="str">
        <f>"84625100      "</f>
        <v xml:space="preserve">84625100      </v>
      </c>
      <c r="C623" t="s">
        <v>1131</v>
      </c>
      <c r="D623" t="s">
        <v>1132</v>
      </c>
      <c r="E623" s="3">
        <v>44562</v>
      </c>
      <c r="G623" t="s">
        <v>1056</v>
      </c>
      <c r="H623" t="s">
        <v>1081</v>
      </c>
    </row>
    <row r="624" spans="1:9" x14ac:dyDescent="0.25">
      <c r="A624" t="s">
        <v>12</v>
      </c>
      <c r="B624" t="str">
        <f>"84625900      "</f>
        <v xml:space="preserve">84625900      </v>
      </c>
      <c r="C624" t="s">
        <v>1133</v>
      </c>
      <c r="D624" t="s">
        <v>1134</v>
      </c>
      <c r="E624" s="3">
        <v>44562</v>
      </c>
      <c r="G624" t="s">
        <v>1056</v>
      </c>
      <c r="H624" t="s">
        <v>1081</v>
      </c>
    </row>
    <row r="625" spans="1:9" x14ac:dyDescent="0.25">
      <c r="A625" t="s">
        <v>12</v>
      </c>
      <c r="B625" t="str">
        <f>"84626110      "</f>
        <v xml:space="preserve">84626110      </v>
      </c>
      <c r="C625" t="s">
        <v>1135</v>
      </c>
      <c r="D625" t="s">
        <v>1085</v>
      </c>
      <c r="E625" s="3">
        <v>44562</v>
      </c>
      <c r="G625" t="s">
        <v>1056</v>
      </c>
      <c r="H625" t="s">
        <v>1081</v>
      </c>
    </row>
    <row r="626" spans="1:9" x14ac:dyDescent="0.25">
      <c r="A626" t="s">
        <v>12</v>
      </c>
      <c r="B626" t="str">
        <f>"84626190      "</f>
        <v xml:space="preserve">84626190      </v>
      </c>
      <c r="C626" t="s">
        <v>1136</v>
      </c>
      <c r="D626" t="s">
        <v>16</v>
      </c>
      <c r="E626" s="3">
        <v>44562</v>
      </c>
      <c r="G626" t="s">
        <v>1056</v>
      </c>
      <c r="H626" t="s">
        <v>1081</v>
      </c>
    </row>
    <row r="627" spans="1:9" x14ac:dyDescent="0.25">
      <c r="A627" t="s">
        <v>12</v>
      </c>
      <c r="B627" t="str">
        <f>"84626210      "</f>
        <v xml:space="preserve">84626210      </v>
      </c>
      <c r="C627" t="s">
        <v>1137</v>
      </c>
      <c r="D627" t="s">
        <v>1085</v>
      </c>
      <c r="E627" s="3">
        <v>44562</v>
      </c>
      <c r="G627" t="s">
        <v>1056</v>
      </c>
      <c r="H627" t="s">
        <v>1081</v>
      </c>
    </row>
    <row r="628" spans="1:9" x14ac:dyDescent="0.25">
      <c r="A628" t="s">
        <v>12</v>
      </c>
      <c r="B628" t="str">
        <f>"84626290      "</f>
        <v xml:space="preserve">84626290      </v>
      </c>
      <c r="C628" t="s">
        <v>1138</v>
      </c>
      <c r="D628" t="s">
        <v>16</v>
      </c>
      <c r="E628" s="3">
        <v>44562</v>
      </c>
      <c r="G628" t="s">
        <v>1056</v>
      </c>
      <c r="H628" t="s">
        <v>1081</v>
      </c>
    </row>
    <row r="629" spans="1:9" x14ac:dyDescent="0.25">
      <c r="A629" t="s">
        <v>12</v>
      </c>
      <c r="B629" t="str">
        <f>"84626310      "</f>
        <v xml:space="preserve">84626310      </v>
      </c>
      <c r="C629" t="s">
        <v>1139</v>
      </c>
      <c r="D629" t="s">
        <v>1085</v>
      </c>
      <c r="E629" s="3">
        <v>44562</v>
      </c>
      <c r="G629" t="s">
        <v>1056</v>
      </c>
      <c r="H629" t="s">
        <v>1081</v>
      </c>
    </row>
    <row r="630" spans="1:9" x14ac:dyDescent="0.25">
      <c r="A630" t="s">
        <v>12</v>
      </c>
      <c r="B630" t="str">
        <f>"84626390      "</f>
        <v xml:space="preserve">84626390      </v>
      </c>
      <c r="C630" t="s">
        <v>1140</v>
      </c>
      <c r="D630" t="s">
        <v>16</v>
      </c>
      <c r="E630" s="3">
        <v>44562</v>
      </c>
      <c r="G630" t="s">
        <v>1056</v>
      </c>
      <c r="H630" t="s">
        <v>1081</v>
      </c>
    </row>
    <row r="631" spans="1:9" x14ac:dyDescent="0.25">
      <c r="A631" t="s">
        <v>12</v>
      </c>
      <c r="B631" t="str">
        <f>"84626910      "</f>
        <v xml:space="preserve">84626910      </v>
      </c>
      <c r="C631" t="s">
        <v>1141</v>
      </c>
      <c r="D631" t="s">
        <v>1085</v>
      </c>
      <c r="E631" s="3">
        <v>44562</v>
      </c>
      <c r="G631" t="s">
        <v>1056</v>
      </c>
      <c r="H631" t="s">
        <v>1081</v>
      </c>
    </row>
    <row r="632" spans="1:9" x14ac:dyDescent="0.25">
      <c r="A632" t="s">
        <v>12</v>
      </c>
      <c r="B632" t="str">
        <f>"84626990      "</f>
        <v xml:space="preserve">84626990      </v>
      </c>
      <c r="C632" t="s">
        <v>1142</v>
      </c>
      <c r="D632" t="s">
        <v>16</v>
      </c>
      <c r="E632" s="3">
        <v>44562</v>
      </c>
      <c r="G632" t="s">
        <v>1056</v>
      </c>
      <c r="H632" t="s">
        <v>1081</v>
      </c>
    </row>
    <row r="633" spans="1:9" x14ac:dyDescent="0.25">
      <c r="A633" t="s">
        <v>12</v>
      </c>
      <c r="B633" t="str">
        <f>"84629010      "</f>
        <v xml:space="preserve">84629010      </v>
      </c>
      <c r="C633" t="s">
        <v>1143</v>
      </c>
      <c r="D633" t="s">
        <v>1085</v>
      </c>
      <c r="E633" s="3">
        <v>44562</v>
      </c>
      <c r="G633" t="s">
        <v>1056</v>
      </c>
      <c r="H633" t="s">
        <v>1081</v>
      </c>
      <c r="I633" t="s">
        <v>337</v>
      </c>
    </row>
    <row r="634" spans="1:9" x14ac:dyDescent="0.25">
      <c r="A634" t="s">
        <v>12</v>
      </c>
      <c r="B634" t="str">
        <f>"84629090      "</f>
        <v xml:space="preserve">84629090      </v>
      </c>
      <c r="C634" t="s">
        <v>1144</v>
      </c>
      <c r="D634" t="s">
        <v>16</v>
      </c>
      <c r="E634" s="3">
        <v>44562</v>
      </c>
      <c r="G634" t="s">
        <v>1056</v>
      </c>
      <c r="H634" t="s">
        <v>1081</v>
      </c>
      <c r="I634" t="s">
        <v>337</v>
      </c>
    </row>
    <row r="635" spans="1:9" x14ac:dyDescent="0.25">
      <c r="A635" t="s">
        <v>2</v>
      </c>
      <c r="B635" t="str">
        <f>"84629120      "</f>
        <v xml:space="preserve">84629120      </v>
      </c>
      <c r="C635" t="s">
        <v>1145</v>
      </c>
      <c r="E635" s="3">
        <v>41122</v>
      </c>
      <c r="F635" s="3">
        <v>44562</v>
      </c>
      <c r="G635" t="s">
        <v>1056</v>
      </c>
      <c r="H635" t="s">
        <v>1081</v>
      </c>
      <c r="I635" t="s">
        <v>1146</v>
      </c>
    </row>
    <row r="636" spans="1:9" x14ac:dyDescent="0.25">
      <c r="A636" t="s">
        <v>2</v>
      </c>
      <c r="B636" t="str">
        <f>"84629180      "</f>
        <v xml:space="preserve">84629180      </v>
      </c>
      <c r="C636" t="s">
        <v>1147</v>
      </c>
      <c r="E636" s="3">
        <v>41122</v>
      </c>
      <c r="F636" s="3">
        <v>44562</v>
      </c>
      <c r="G636" t="s">
        <v>1056</v>
      </c>
      <c r="H636" t="s">
        <v>1081</v>
      </c>
      <c r="I636" t="s">
        <v>1146</v>
      </c>
    </row>
    <row r="637" spans="1:9" x14ac:dyDescent="0.25">
      <c r="A637" t="s">
        <v>2</v>
      </c>
      <c r="B637" t="str">
        <f>"84629920      "</f>
        <v xml:space="preserve">84629920      </v>
      </c>
      <c r="C637" t="s">
        <v>1148</v>
      </c>
      <c r="E637" s="3">
        <v>41122</v>
      </c>
      <c r="F637" s="3">
        <v>44562</v>
      </c>
      <c r="G637" t="s">
        <v>1056</v>
      </c>
      <c r="H637" t="s">
        <v>1081</v>
      </c>
      <c r="I637" t="s">
        <v>642</v>
      </c>
    </row>
    <row r="638" spans="1:9" x14ac:dyDescent="0.25">
      <c r="A638" t="s">
        <v>2</v>
      </c>
      <c r="B638" t="str">
        <f>"84629980      "</f>
        <v xml:space="preserve">84629980      </v>
      </c>
      <c r="C638" t="s">
        <v>1149</v>
      </c>
      <c r="E638" s="3">
        <v>41122</v>
      </c>
      <c r="F638" s="3">
        <v>44562</v>
      </c>
      <c r="G638" t="s">
        <v>1056</v>
      </c>
      <c r="H638" t="s">
        <v>1081</v>
      </c>
      <c r="I638" t="s">
        <v>642</v>
      </c>
    </row>
    <row r="639" spans="1:9" x14ac:dyDescent="0.25">
      <c r="A639" t="s">
        <v>12</v>
      </c>
      <c r="B639" t="str">
        <f>"84798300      "</f>
        <v xml:space="preserve">84798300      </v>
      </c>
      <c r="C639" t="s">
        <v>1150</v>
      </c>
      <c r="D639" t="s">
        <v>1151</v>
      </c>
      <c r="E639" s="3">
        <v>44562</v>
      </c>
      <c r="G639" t="s">
        <v>1056</v>
      </c>
      <c r="H639" t="s">
        <v>1152</v>
      </c>
      <c r="I639" t="s">
        <v>1153</v>
      </c>
    </row>
    <row r="640" spans="1:9" x14ac:dyDescent="0.25">
      <c r="A640" t="s">
        <v>12</v>
      </c>
      <c r="B640" t="str">
        <f>"84851000      "</f>
        <v xml:space="preserve">84851000      </v>
      </c>
      <c r="C640" t="s">
        <v>1154</v>
      </c>
      <c r="D640" t="s">
        <v>1155</v>
      </c>
      <c r="E640" s="3">
        <v>44562</v>
      </c>
      <c r="G640" t="s">
        <v>1056</v>
      </c>
      <c r="H640" t="s">
        <v>1156</v>
      </c>
    </row>
    <row r="641" spans="1:9" x14ac:dyDescent="0.25">
      <c r="A641" t="s">
        <v>12</v>
      </c>
      <c r="B641" t="str">
        <f>"84852000      "</f>
        <v xml:space="preserve">84852000      </v>
      </c>
      <c r="C641" t="s">
        <v>1157</v>
      </c>
      <c r="D641" t="s">
        <v>1158</v>
      </c>
      <c r="E641" s="3">
        <v>44562</v>
      </c>
      <c r="G641" t="s">
        <v>1056</v>
      </c>
      <c r="H641" t="s">
        <v>1156</v>
      </c>
    </row>
    <row r="642" spans="1:9" x14ac:dyDescent="0.25">
      <c r="A642" t="s">
        <v>12</v>
      </c>
      <c r="B642" t="str">
        <f>"84853010      "</f>
        <v xml:space="preserve">84853010      </v>
      </c>
      <c r="C642" t="s">
        <v>1159</v>
      </c>
      <c r="D642" t="s">
        <v>1160</v>
      </c>
      <c r="E642" s="3">
        <v>44562</v>
      </c>
      <c r="G642" t="s">
        <v>1056</v>
      </c>
      <c r="H642" t="s">
        <v>1156</v>
      </c>
    </row>
    <row r="643" spans="1:9" x14ac:dyDescent="0.25">
      <c r="A643" t="s">
        <v>12</v>
      </c>
      <c r="B643" t="str">
        <f>"84853090      "</f>
        <v xml:space="preserve">84853090      </v>
      </c>
      <c r="C643" t="s">
        <v>1161</v>
      </c>
      <c r="D643" t="s">
        <v>16</v>
      </c>
      <c r="E643" s="3">
        <v>44562</v>
      </c>
      <c r="G643" t="s">
        <v>1056</v>
      </c>
      <c r="H643" t="s">
        <v>1156</v>
      </c>
    </row>
    <row r="644" spans="1:9" x14ac:dyDescent="0.25">
      <c r="A644" t="s">
        <v>12</v>
      </c>
      <c r="B644" t="str">
        <f>"84858000      "</f>
        <v xml:space="preserve">84858000      </v>
      </c>
      <c r="C644" t="s">
        <v>1162</v>
      </c>
      <c r="D644" t="s">
        <v>16</v>
      </c>
      <c r="E644" s="3">
        <v>44562</v>
      </c>
      <c r="G644" t="s">
        <v>1056</v>
      </c>
      <c r="H644" t="s">
        <v>1156</v>
      </c>
    </row>
    <row r="645" spans="1:9" x14ac:dyDescent="0.25">
      <c r="A645" t="s">
        <v>12</v>
      </c>
      <c r="B645" t="str">
        <f>"84859010      "</f>
        <v xml:space="preserve">84859010      </v>
      </c>
      <c r="C645" t="s">
        <v>1163</v>
      </c>
      <c r="D645" t="s">
        <v>1164</v>
      </c>
      <c r="E645" s="3">
        <v>44562</v>
      </c>
      <c r="G645" t="s">
        <v>1056</v>
      </c>
      <c r="H645" t="s">
        <v>1156</v>
      </c>
    </row>
    <row r="646" spans="1:9" x14ac:dyDescent="0.25">
      <c r="A646" t="s">
        <v>12</v>
      </c>
      <c r="B646" t="str">
        <f>"84859090      "</f>
        <v xml:space="preserve">84859090      </v>
      </c>
      <c r="C646" t="s">
        <v>1165</v>
      </c>
      <c r="D646" t="s">
        <v>16</v>
      </c>
      <c r="E646" s="3">
        <v>44562</v>
      </c>
      <c r="G646" t="s">
        <v>1056</v>
      </c>
      <c r="H646" t="s">
        <v>1156</v>
      </c>
    </row>
    <row r="647" spans="1:9" x14ac:dyDescent="0.25">
      <c r="A647" t="s">
        <v>12</v>
      </c>
      <c r="B647" t="str">
        <f>"85017100      "</f>
        <v xml:space="preserve">85017100      </v>
      </c>
      <c r="C647" t="s">
        <v>1166</v>
      </c>
      <c r="D647" t="s">
        <v>1167</v>
      </c>
      <c r="E647" s="3">
        <v>44562</v>
      </c>
      <c r="G647" t="s">
        <v>1168</v>
      </c>
      <c r="H647" t="s">
        <v>1169</v>
      </c>
    </row>
    <row r="648" spans="1:9" x14ac:dyDescent="0.25">
      <c r="A648" t="s">
        <v>12</v>
      </c>
      <c r="B648" t="str">
        <f>"85017200      "</f>
        <v xml:space="preserve">85017200      </v>
      </c>
      <c r="C648" t="s">
        <v>1170</v>
      </c>
      <c r="D648" t="s">
        <v>1171</v>
      </c>
      <c r="E648" s="3">
        <v>44562</v>
      </c>
      <c r="G648" t="s">
        <v>1168</v>
      </c>
      <c r="H648" t="s">
        <v>1169</v>
      </c>
    </row>
    <row r="649" spans="1:9" x14ac:dyDescent="0.25">
      <c r="A649" t="s">
        <v>12</v>
      </c>
      <c r="B649" t="str">
        <f>"85018000      "</f>
        <v xml:space="preserve">85018000      </v>
      </c>
      <c r="C649" t="s">
        <v>1172</v>
      </c>
      <c r="D649" t="s">
        <v>1173</v>
      </c>
      <c r="E649" s="3">
        <v>44562</v>
      </c>
      <c r="G649" t="s">
        <v>1168</v>
      </c>
      <c r="H649" t="s">
        <v>1169</v>
      </c>
    </row>
    <row r="650" spans="1:9" x14ac:dyDescent="0.25">
      <c r="A650" t="s">
        <v>2</v>
      </c>
      <c r="B650" t="str">
        <f>"85074000      "</f>
        <v xml:space="preserve">85074000      </v>
      </c>
      <c r="C650" t="s">
        <v>1174</v>
      </c>
      <c r="E650" s="3">
        <v>41122</v>
      </c>
      <c r="F650" s="3">
        <v>44562</v>
      </c>
      <c r="G650" t="s">
        <v>1168</v>
      </c>
      <c r="H650" t="s">
        <v>1175</v>
      </c>
      <c r="I650" t="s">
        <v>1176</v>
      </c>
    </row>
    <row r="651" spans="1:9" x14ac:dyDescent="0.25">
      <c r="A651" t="s">
        <v>2</v>
      </c>
      <c r="B651" t="str">
        <f>"85141010      "</f>
        <v xml:space="preserve">85141010      </v>
      </c>
      <c r="C651" t="s">
        <v>1177</v>
      </c>
      <c r="E651" s="3">
        <v>41122</v>
      </c>
      <c r="F651" s="3">
        <v>44562</v>
      </c>
      <c r="G651" t="s">
        <v>1168</v>
      </c>
      <c r="H651" t="s">
        <v>1178</v>
      </c>
      <c r="I651" t="s">
        <v>1179</v>
      </c>
    </row>
    <row r="652" spans="1:9" x14ac:dyDescent="0.25">
      <c r="A652" t="s">
        <v>2</v>
      </c>
      <c r="B652" t="str">
        <f>"85141080      "</f>
        <v xml:space="preserve">85141080      </v>
      </c>
      <c r="C652" t="s">
        <v>1180</v>
      </c>
      <c r="E652" s="3">
        <v>41122</v>
      </c>
      <c r="F652" s="3">
        <v>44562</v>
      </c>
      <c r="G652" t="s">
        <v>1168</v>
      </c>
      <c r="H652" t="s">
        <v>1178</v>
      </c>
      <c r="I652" t="s">
        <v>1179</v>
      </c>
    </row>
    <row r="653" spans="1:9" x14ac:dyDescent="0.25">
      <c r="A653" t="s">
        <v>12</v>
      </c>
      <c r="B653" t="str">
        <f>"85141100      "</f>
        <v xml:space="preserve">85141100      </v>
      </c>
      <c r="C653" t="s">
        <v>1181</v>
      </c>
      <c r="D653" t="s">
        <v>1182</v>
      </c>
      <c r="E653" s="3">
        <v>44562</v>
      </c>
      <c r="G653" t="s">
        <v>1168</v>
      </c>
      <c r="H653" t="s">
        <v>1178</v>
      </c>
    </row>
    <row r="654" spans="1:9" x14ac:dyDescent="0.25">
      <c r="A654" t="s">
        <v>12</v>
      </c>
      <c r="B654" t="str">
        <f>"85141910      "</f>
        <v xml:space="preserve">85141910      </v>
      </c>
      <c r="C654" t="s">
        <v>1183</v>
      </c>
      <c r="D654" t="s">
        <v>1184</v>
      </c>
      <c r="E654" s="3">
        <v>44562</v>
      </c>
      <c r="G654" t="s">
        <v>1168</v>
      </c>
      <c r="H654" t="s">
        <v>1178</v>
      </c>
    </row>
    <row r="655" spans="1:9" x14ac:dyDescent="0.25">
      <c r="A655" t="s">
        <v>12</v>
      </c>
      <c r="B655" t="str">
        <f>"85141980      "</f>
        <v xml:space="preserve">85141980      </v>
      </c>
      <c r="C655" t="s">
        <v>1185</v>
      </c>
      <c r="D655" t="s">
        <v>16</v>
      </c>
      <c r="E655" s="3">
        <v>44562</v>
      </c>
      <c r="G655" t="s">
        <v>1168</v>
      </c>
      <c r="H655" t="s">
        <v>1178</v>
      </c>
    </row>
    <row r="656" spans="1:9" x14ac:dyDescent="0.25">
      <c r="A656" t="s">
        <v>2</v>
      </c>
      <c r="B656" t="str">
        <f>"85143020      "</f>
        <v xml:space="preserve">85143020      </v>
      </c>
      <c r="C656" t="s">
        <v>1186</v>
      </c>
      <c r="E656" s="3">
        <v>42736</v>
      </c>
      <c r="F656" s="3">
        <v>44562</v>
      </c>
      <c r="G656" t="s">
        <v>1168</v>
      </c>
      <c r="H656" t="s">
        <v>1178</v>
      </c>
      <c r="I656" t="s">
        <v>1187</v>
      </c>
    </row>
    <row r="657" spans="1:9" x14ac:dyDescent="0.25">
      <c r="A657" t="s">
        <v>2</v>
      </c>
      <c r="B657" t="str">
        <f>"85143080      "</f>
        <v xml:space="preserve">85143080      </v>
      </c>
      <c r="C657" t="s">
        <v>1188</v>
      </c>
      <c r="E657" s="3">
        <v>42736</v>
      </c>
      <c r="F657" s="3">
        <v>44562</v>
      </c>
      <c r="G657" t="s">
        <v>1168</v>
      </c>
      <c r="H657" t="s">
        <v>1178</v>
      </c>
      <c r="I657" t="s">
        <v>1187</v>
      </c>
    </row>
    <row r="658" spans="1:9" x14ac:dyDescent="0.25">
      <c r="A658" t="s">
        <v>12</v>
      </c>
      <c r="B658" t="str">
        <f>"85143110      "</f>
        <v xml:space="preserve">85143110      </v>
      </c>
      <c r="C658" t="s">
        <v>1189</v>
      </c>
      <c r="D658" t="s">
        <v>1190</v>
      </c>
      <c r="E658" s="3">
        <v>44562</v>
      </c>
      <c r="G658" t="s">
        <v>1168</v>
      </c>
      <c r="H658" t="s">
        <v>1178</v>
      </c>
    </row>
    <row r="659" spans="1:9" x14ac:dyDescent="0.25">
      <c r="A659" t="s">
        <v>12</v>
      </c>
      <c r="B659" t="str">
        <f>"85143190      "</f>
        <v xml:space="preserve">85143190      </v>
      </c>
      <c r="C659" t="s">
        <v>1191</v>
      </c>
      <c r="D659" t="s">
        <v>16</v>
      </c>
      <c r="E659" s="3">
        <v>44562</v>
      </c>
      <c r="G659" t="s">
        <v>1168</v>
      </c>
      <c r="H659" t="s">
        <v>1178</v>
      </c>
    </row>
    <row r="660" spans="1:9" x14ac:dyDescent="0.25">
      <c r="A660" t="s">
        <v>12</v>
      </c>
      <c r="B660" t="str">
        <f>"85143210      "</f>
        <v xml:space="preserve">85143210      </v>
      </c>
      <c r="C660" t="s">
        <v>1192</v>
      </c>
      <c r="D660" t="s">
        <v>1190</v>
      </c>
      <c r="E660" s="3">
        <v>44562</v>
      </c>
      <c r="G660" t="s">
        <v>1168</v>
      </c>
      <c r="H660" t="s">
        <v>1178</v>
      </c>
    </row>
    <row r="661" spans="1:9" x14ac:dyDescent="0.25">
      <c r="A661" t="s">
        <v>12</v>
      </c>
      <c r="B661" t="str">
        <f>"85143290      "</f>
        <v xml:space="preserve">85143290      </v>
      </c>
      <c r="C661" t="s">
        <v>1193</v>
      </c>
      <c r="D661" t="s">
        <v>16</v>
      </c>
      <c r="E661" s="3">
        <v>44562</v>
      </c>
      <c r="G661" t="s">
        <v>1168</v>
      </c>
      <c r="H661" t="s">
        <v>1178</v>
      </c>
    </row>
    <row r="662" spans="1:9" x14ac:dyDescent="0.25">
      <c r="A662" t="s">
        <v>12</v>
      </c>
      <c r="B662" t="str">
        <f>"85143910      "</f>
        <v xml:space="preserve">85143910      </v>
      </c>
      <c r="C662" t="s">
        <v>1194</v>
      </c>
      <c r="D662" t="s">
        <v>1190</v>
      </c>
      <c r="E662" s="3">
        <v>44562</v>
      </c>
      <c r="G662" t="s">
        <v>1168</v>
      </c>
      <c r="H662" t="s">
        <v>1178</v>
      </c>
    </row>
    <row r="663" spans="1:9" x14ac:dyDescent="0.25">
      <c r="A663" t="s">
        <v>12</v>
      </c>
      <c r="B663" t="str">
        <f>"85143990      "</f>
        <v xml:space="preserve">85143990      </v>
      </c>
      <c r="C663" t="s">
        <v>1195</v>
      </c>
      <c r="D663" t="s">
        <v>16</v>
      </c>
      <c r="E663" s="3">
        <v>44562</v>
      </c>
      <c r="G663" t="s">
        <v>1168</v>
      </c>
      <c r="H663" t="s">
        <v>1178</v>
      </c>
    </row>
    <row r="664" spans="1:9" x14ac:dyDescent="0.25">
      <c r="A664" t="s">
        <v>2</v>
      </c>
      <c r="B664" t="str">
        <f>"85171200      "</f>
        <v xml:space="preserve">85171200      </v>
      </c>
      <c r="C664" t="s">
        <v>1196</v>
      </c>
      <c r="E664" s="3">
        <v>41122</v>
      </c>
      <c r="F664" s="3">
        <v>44562</v>
      </c>
      <c r="G664" t="s">
        <v>1168</v>
      </c>
      <c r="H664" t="s">
        <v>1197</v>
      </c>
      <c r="I664" t="s">
        <v>1198</v>
      </c>
    </row>
    <row r="665" spans="1:9" x14ac:dyDescent="0.25">
      <c r="A665" t="s">
        <v>12</v>
      </c>
      <c r="B665" t="str">
        <f>"85171300      "</f>
        <v xml:space="preserve">85171300      </v>
      </c>
      <c r="C665" t="s">
        <v>1199</v>
      </c>
      <c r="D665" t="s">
        <v>1200</v>
      </c>
      <c r="E665" s="3">
        <v>44562</v>
      </c>
      <c r="G665" t="s">
        <v>1168</v>
      </c>
      <c r="H665" t="s">
        <v>1197</v>
      </c>
      <c r="I665" t="s">
        <v>1201</v>
      </c>
    </row>
    <row r="666" spans="1:9" x14ac:dyDescent="0.25">
      <c r="A666" t="s">
        <v>12</v>
      </c>
      <c r="B666" t="str">
        <f>"85171400      "</f>
        <v xml:space="preserve">85171400      </v>
      </c>
      <c r="C666" t="s">
        <v>1202</v>
      </c>
      <c r="D666" t="s">
        <v>1203</v>
      </c>
      <c r="E666" s="3">
        <v>44562</v>
      </c>
      <c r="G666" t="s">
        <v>1168</v>
      </c>
      <c r="H666" t="s">
        <v>1197</v>
      </c>
      <c r="I666" t="s">
        <v>1201</v>
      </c>
    </row>
    <row r="667" spans="1:9" x14ac:dyDescent="0.25">
      <c r="A667" t="s">
        <v>2</v>
      </c>
      <c r="B667" t="str">
        <f>"85177000      "</f>
        <v xml:space="preserve">85177000      </v>
      </c>
      <c r="C667" t="s">
        <v>1204</v>
      </c>
      <c r="E667" s="3">
        <v>42736</v>
      </c>
      <c r="F667" s="3">
        <v>44562</v>
      </c>
      <c r="G667" t="s">
        <v>1168</v>
      </c>
      <c r="H667" t="s">
        <v>1197</v>
      </c>
      <c r="I667" t="s">
        <v>1205</v>
      </c>
    </row>
    <row r="668" spans="1:9" x14ac:dyDescent="0.25">
      <c r="A668" t="s">
        <v>12</v>
      </c>
      <c r="B668" t="str">
        <f>"85177100      "</f>
        <v xml:space="preserve">85177100      </v>
      </c>
      <c r="C668" t="s">
        <v>1206</v>
      </c>
      <c r="D668" t="s">
        <v>1207</v>
      </c>
      <c r="E668" s="3">
        <v>44562</v>
      </c>
      <c r="G668" t="s">
        <v>1168</v>
      </c>
      <c r="H668" t="s">
        <v>1197</v>
      </c>
    </row>
    <row r="669" spans="1:9" x14ac:dyDescent="0.25">
      <c r="A669" t="s">
        <v>12</v>
      </c>
      <c r="B669" t="str">
        <f>"85177900      "</f>
        <v xml:space="preserve">85177900      </v>
      </c>
      <c r="C669" t="s">
        <v>1208</v>
      </c>
      <c r="D669" t="s">
        <v>1209</v>
      </c>
      <c r="E669" s="3">
        <v>44562</v>
      </c>
      <c r="G669" t="s">
        <v>1168</v>
      </c>
      <c r="H669" t="s">
        <v>1197</v>
      </c>
    </row>
    <row r="670" spans="1:9" x14ac:dyDescent="0.25">
      <c r="A670" t="s">
        <v>2</v>
      </c>
      <c r="B670" t="str">
        <f>"85195000      "</f>
        <v xml:space="preserve">85195000      </v>
      </c>
      <c r="C670" t="s">
        <v>1210</v>
      </c>
      <c r="E670" s="3">
        <v>41122</v>
      </c>
      <c r="F670" s="3">
        <v>44562</v>
      </c>
      <c r="G670" t="s">
        <v>1168</v>
      </c>
      <c r="H670" t="s">
        <v>1211</v>
      </c>
      <c r="I670" t="s">
        <v>1212</v>
      </c>
    </row>
    <row r="671" spans="1:9" x14ac:dyDescent="0.25">
      <c r="A671" t="s">
        <v>12</v>
      </c>
      <c r="B671" t="str">
        <f>"85241100      "</f>
        <v xml:space="preserve">85241100      </v>
      </c>
      <c r="C671" t="s">
        <v>1213</v>
      </c>
      <c r="D671" t="s">
        <v>1214</v>
      </c>
      <c r="E671" s="3">
        <v>44562</v>
      </c>
      <c r="G671" t="s">
        <v>1168</v>
      </c>
      <c r="H671" t="s">
        <v>1215</v>
      </c>
    </row>
    <row r="672" spans="1:9" x14ac:dyDescent="0.25">
      <c r="A672" t="s">
        <v>12</v>
      </c>
      <c r="B672" t="str">
        <f>"85241200      "</f>
        <v xml:space="preserve">85241200      </v>
      </c>
      <c r="C672" t="s">
        <v>1216</v>
      </c>
      <c r="D672" t="s">
        <v>1217</v>
      </c>
      <c r="E672" s="3">
        <v>44562</v>
      </c>
      <c r="G672" t="s">
        <v>1168</v>
      </c>
      <c r="H672" t="s">
        <v>1215</v>
      </c>
    </row>
    <row r="673" spans="1:9" x14ac:dyDescent="0.25">
      <c r="A673" t="s">
        <v>12</v>
      </c>
      <c r="B673" t="str">
        <f>"85241900      "</f>
        <v xml:space="preserve">85241900      </v>
      </c>
      <c r="C673" t="s">
        <v>1218</v>
      </c>
      <c r="D673" t="s">
        <v>1219</v>
      </c>
      <c r="E673" s="3">
        <v>44562</v>
      </c>
      <c r="G673" t="s">
        <v>1168</v>
      </c>
      <c r="H673" t="s">
        <v>1215</v>
      </c>
    </row>
    <row r="674" spans="1:9" x14ac:dyDescent="0.25">
      <c r="A674" t="s">
        <v>12</v>
      </c>
      <c r="B674" t="str">
        <f>"85249100      "</f>
        <v xml:space="preserve">85249100      </v>
      </c>
      <c r="C674" t="s">
        <v>1220</v>
      </c>
      <c r="D674" t="s">
        <v>1221</v>
      </c>
      <c r="E674" s="3">
        <v>44562</v>
      </c>
      <c r="G674" t="s">
        <v>1168</v>
      </c>
      <c r="H674" t="s">
        <v>1215</v>
      </c>
    </row>
    <row r="675" spans="1:9" x14ac:dyDescent="0.25">
      <c r="A675" t="s">
        <v>12</v>
      </c>
      <c r="B675" t="str">
        <f>"85249200      "</f>
        <v xml:space="preserve">85249200      </v>
      </c>
      <c r="C675" t="s">
        <v>1222</v>
      </c>
      <c r="D675" t="s">
        <v>1223</v>
      </c>
      <c r="E675" s="3">
        <v>44562</v>
      </c>
      <c r="G675" t="s">
        <v>1168</v>
      </c>
      <c r="H675" t="s">
        <v>1215</v>
      </c>
    </row>
    <row r="676" spans="1:9" x14ac:dyDescent="0.25">
      <c r="A676" t="s">
        <v>12</v>
      </c>
      <c r="B676" t="str">
        <f>"85249900      "</f>
        <v xml:space="preserve">85249900      </v>
      </c>
      <c r="C676" t="s">
        <v>1224</v>
      </c>
      <c r="D676" t="s">
        <v>78</v>
      </c>
      <c r="E676" s="3">
        <v>44562</v>
      </c>
      <c r="G676" t="s">
        <v>1168</v>
      </c>
      <c r="H676" t="s">
        <v>1215</v>
      </c>
    </row>
    <row r="677" spans="1:9" x14ac:dyDescent="0.25">
      <c r="A677" t="s">
        <v>2</v>
      </c>
      <c r="B677" t="str">
        <f>"85258011      "</f>
        <v xml:space="preserve">85258011      </v>
      </c>
      <c r="C677" t="s">
        <v>1225</v>
      </c>
      <c r="E677" s="3">
        <v>41122</v>
      </c>
      <c r="F677" s="3">
        <v>44562</v>
      </c>
      <c r="G677" t="s">
        <v>1168</v>
      </c>
      <c r="H677" t="s">
        <v>1226</v>
      </c>
      <c r="I677" t="s">
        <v>1227</v>
      </c>
    </row>
    <row r="678" spans="1:9" x14ac:dyDescent="0.25">
      <c r="A678" t="s">
        <v>2</v>
      </c>
      <c r="B678" t="str">
        <f>"85258019      "</f>
        <v xml:space="preserve">85258019      </v>
      </c>
      <c r="C678" t="s">
        <v>1228</v>
      </c>
      <c r="E678" s="3">
        <v>41122</v>
      </c>
      <c r="F678" s="3">
        <v>44562</v>
      </c>
      <c r="G678" t="s">
        <v>1168</v>
      </c>
      <c r="H678" t="s">
        <v>1226</v>
      </c>
      <c r="I678" t="s">
        <v>1227</v>
      </c>
    </row>
    <row r="679" spans="1:9" x14ac:dyDescent="0.25">
      <c r="A679" t="s">
        <v>2</v>
      </c>
      <c r="B679" t="str">
        <f>"85258030      "</f>
        <v xml:space="preserve">85258030      </v>
      </c>
      <c r="C679" t="s">
        <v>1229</v>
      </c>
      <c r="E679" s="3">
        <v>41122</v>
      </c>
      <c r="F679" s="3">
        <v>44562</v>
      </c>
      <c r="G679" t="s">
        <v>1168</v>
      </c>
      <c r="H679" t="s">
        <v>1226</v>
      </c>
      <c r="I679" t="s">
        <v>1227</v>
      </c>
    </row>
    <row r="680" spans="1:9" x14ac:dyDescent="0.25">
      <c r="A680" t="s">
        <v>2</v>
      </c>
      <c r="B680" t="str">
        <f>"85258091      "</f>
        <v xml:space="preserve">85258091      </v>
      </c>
      <c r="C680" t="s">
        <v>1230</v>
      </c>
      <c r="E680" s="3">
        <v>41122</v>
      </c>
      <c r="F680" s="3">
        <v>44562</v>
      </c>
      <c r="G680" t="s">
        <v>1168</v>
      </c>
      <c r="H680" t="s">
        <v>1226</v>
      </c>
      <c r="I680" t="s">
        <v>1227</v>
      </c>
    </row>
    <row r="681" spans="1:9" x14ac:dyDescent="0.25">
      <c r="A681" t="s">
        <v>2</v>
      </c>
      <c r="B681" t="str">
        <f>"85258099      "</f>
        <v xml:space="preserve">85258099      </v>
      </c>
      <c r="C681" t="s">
        <v>1231</v>
      </c>
      <c r="E681" s="3">
        <v>41122</v>
      </c>
      <c r="F681" s="3">
        <v>44562</v>
      </c>
      <c r="G681" t="s">
        <v>1168</v>
      </c>
      <c r="H681" t="s">
        <v>1226</v>
      </c>
      <c r="I681" t="s">
        <v>1227</v>
      </c>
    </row>
    <row r="682" spans="1:9" x14ac:dyDescent="0.25">
      <c r="A682" t="s">
        <v>12</v>
      </c>
      <c r="B682" t="str">
        <f>"85258100      "</f>
        <v xml:space="preserve">85258100      </v>
      </c>
      <c r="C682" t="s">
        <v>1232</v>
      </c>
      <c r="D682" t="s">
        <v>1233</v>
      </c>
      <c r="E682" s="3">
        <v>44562</v>
      </c>
      <c r="G682" t="s">
        <v>1168</v>
      </c>
      <c r="H682" t="s">
        <v>1226</v>
      </c>
    </row>
    <row r="683" spans="1:9" x14ac:dyDescent="0.25">
      <c r="A683" t="s">
        <v>12</v>
      </c>
      <c r="B683" t="str">
        <f>"85258200      "</f>
        <v xml:space="preserve">85258200      </v>
      </c>
      <c r="C683" t="s">
        <v>1234</v>
      </c>
      <c r="D683" t="s">
        <v>1235</v>
      </c>
      <c r="E683" s="3">
        <v>44562</v>
      </c>
      <c r="G683" t="s">
        <v>1168</v>
      </c>
      <c r="H683" t="s">
        <v>1226</v>
      </c>
    </row>
    <row r="684" spans="1:9" x14ac:dyDescent="0.25">
      <c r="A684" t="s">
        <v>12</v>
      </c>
      <c r="B684" t="str">
        <f>"85258300      "</f>
        <v xml:space="preserve">85258300      </v>
      </c>
      <c r="C684" t="s">
        <v>1236</v>
      </c>
      <c r="D684" t="s">
        <v>1237</v>
      </c>
      <c r="E684" s="3">
        <v>44562</v>
      </c>
      <c r="G684" t="s">
        <v>1168</v>
      </c>
      <c r="H684" t="s">
        <v>1226</v>
      </c>
    </row>
    <row r="685" spans="1:9" x14ac:dyDescent="0.25">
      <c r="A685" t="s">
        <v>12</v>
      </c>
      <c r="B685" t="str">
        <f>"85258900      "</f>
        <v xml:space="preserve">85258900      </v>
      </c>
      <c r="C685" t="s">
        <v>1238</v>
      </c>
      <c r="D685" t="s">
        <v>1239</v>
      </c>
      <c r="E685" s="3">
        <v>44562</v>
      </c>
      <c r="G685" t="s">
        <v>1168</v>
      </c>
      <c r="H685" t="s">
        <v>1226</v>
      </c>
    </row>
    <row r="686" spans="1:9" x14ac:dyDescent="0.25">
      <c r="A686" t="s">
        <v>12</v>
      </c>
      <c r="B686" t="str">
        <f>"85299018      "</f>
        <v xml:space="preserve">85299018      </v>
      </c>
      <c r="C686" t="s">
        <v>1240</v>
      </c>
      <c r="D686" t="s">
        <v>1241</v>
      </c>
      <c r="E686" s="3">
        <v>44562</v>
      </c>
      <c r="G686" t="s">
        <v>1168</v>
      </c>
      <c r="H686" t="s">
        <v>1242</v>
      </c>
      <c r="I686" t="s">
        <v>16</v>
      </c>
    </row>
    <row r="687" spans="1:9" x14ac:dyDescent="0.25">
      <c r="A687" t="s">
        <v>12</v>
      </c>
      <c r="B687" t="str">
        <f>"85299040      "</f>
        <v xml:space="preserve">85299040      </v>
      </c>
      <c r="C687" t="s">
        <v>1243</v>
      </c>
      <c r="D687" t="s">
        <v>1244</v>
      </c>
      <c r="E687" s="3">
        <v>44562</v>
      </c>
      <c r="G687" t="s">
        <v>1168</v>
      </c>
      <c r="H687" t="s">
        <v>1242</v>
      </c>
      <c r="I687" t="s">
        <v>16</v>
      </c>
    </row>
    <row r="688" spans="1:9" x14ac:dyDescent="0.25">
      <c r="A688" t="s">
        <v>2</v>
      </c>
      <c r="B688" t="str">
        <f>"85299041      "</f>
        <v xml:space="preserve">85299041      </v>
      </c>
      <c r="C688" t="s">
        <v>1245</v>
      </c>
      <c r="E688" s="3">
        <v>41122</v>
      </c>
      <c r="F688" s="3">
        <v>44562</v>
      </c>
      <c r="G688" t="s">
        <v>1168</v>
      </c>
      <c r="H688" t="s">
        <v>1242</v>
      </c>
      <c r="I688" t="s">
        <v>16</v>
      </c>
    </row>
    <row r="689" spans="1:9" x14ac:dyDescent="0.25">
      <c r="A689" t="s">
        <v>2</v>
      </c>
      <c r="B689" t="str">
        <f>"85299049      "</f>
        <v xml:space="preserve">85299049      </v>
      </c>
      <c r="C689" t="s">
        <v>1246</v>
      </c>
      <c r="E689" s="3">
        <v>41122</v>
      </c>
      <c r="F689" s="3">
        <v>44562</v>
      </c>
      <c r="G689" t="s">
        <v>1168</v>
      </c>
      <c r="H689" t="s">
        <v>1242</v>
      </c>
      <c r="I689" t="s">
        <v>16</v>
      </c>
    </row>
    <row r="690" spans="1:9" x14ac:dyDescent="0.25">
      <c r="A690" t="s">
        <v>2</v>
      </c>
      <c r="B690" t="str">
        <f>"85395000      "</f>
        <v xml:space="preserve">85395000      </v>
      </c>
      <c r="C690" t="s">
        <v>1247</v>
      </c>
      <c r="E690" s="3">
        <v>42736</v>
      </c>
      <c r="F690" s="3">
        <v>44562</v>
      </c>
      <c r="G690" t="s">
        <v>1168</v>
      </c>
      <c r="H690" t="s">
        <v>1248</v>
      </c>
    </row>
    <row r="691" spans="1:9" x14ac:dyDescent="0.25">
      <c r="A691" t="s">
        <v>12</v>
      </c>
      <c r="B691" t="str">
        <f>"85395100      "</f>
        <v xml:space="preserve">85395100      </v>
      </c>
      <c r="C691" t="s">
        <v>1249</v>
      </c>
      <c r="D691" t="s">
        <v>1250</v>
      </c>
      <c r="E691" s="3">
        <v>44562</v>
      </c>
      <c r="G691" t="s">
        <v>1168</v>
      </c>
      <c r="H691" t="s">
        <v>1248</v>
      </c>
    </row>
    <row r="692" spans="1:9" x14ac:dyDescent="0.25">
      <c r="A692" t="s">
        <v>12</v>
      </c>
      <c r="B692" t="str">
        <f>"85395200      "</f>
        <v xml:space="preserve">85395200      </v>
      </c>
      <c r="C692" t="s">
        <v>1251</v>
      </c>
      <c r="D692" t="s">
        <v>1252</v>
      </c>
      <c r="E692" s="3">
        <v>44562</v>
      </c>
      <c r="G692" t="s">
        <v>1168</v>
      </c>
      <c r="H692" t="s">
        <v>1248</v>
      </c>
    </row>
    <row r="693" spans="1:9" x14ac:dyDescent="0.25">
      <c r="A693" t="s">
        <v>2</v>
      </c>
      <c r="B693" t="str">
        <f>"85414010      "</f>
        <v xml:space="preserve">85414010      </v>
      </c>
      <c r="C693" t="s">
        <v>1253</v>
      </c>
      <c r="E693" s="3">
        <v>41122</v>
      </c>
      <c r="F693" s="3">
        <v>44562</v>
      </c>
      <c r="G693" t="s">
        <v>1168</v>
      </c>
      <c r="H693" t="s">
        <v>1254</v>
      </c>
      <c r="I693" t="s">
        <v>1255</v>
      </c>
    </row>
    <row r="694" spans="1:9" x14ac:dyDescent="0.25">
      <c r="A694" t="s">
        <v>2</v>
      </c>
      <c r="B694" t="str">
        <f>"85414090      "</f>
        <v xml:space="preserve">85414090      </v>
      </c>
      <c r="C694" t="s">
        <v>1256</v>
      </c>
      <c r="E694" s="3">
        <v>41122</v>
      </c>
      <c r="F694" s="3">
        <v>44562</v>
      </c>
      <c r="G694" t="s">
        <v>1168</v>
      </c>
      <c r="H694" t="s">
        <v>1254</v>
      </c>
      <c r="I694" t="s">
        <v>1255</v>
      </c>
    </row>
    <row r="695" spans="1:9" x14ac:dyDescent="0.25">
      <c r="A695" t="s">
        <v>12</v>
      </c>
      <c r="B695" t="str">
        <f>"85414100      "</f>
        <v xml:space="preserve">85414100      </v>
      </c>
      <c r="C695" t="s">
        <v>1257</v>
      </c>
      <c r="D695" t="s">
        <v>1258</v>
      </c>
      <c r="E695" s="3">
        <v>44562</v>
      </c>
      <c r="G695" t="s">
        <v>1168</v>
      </c>
      <c r="H695" t="s">
        <v>1254</v>
      </c>
    </row>
    <row r="696" spans="1:9" x14ac:dyDescent="0.25">
      <c r="A696" t="s">
        <v>12</v>
      </c>
      <c r="B696" t="str">
        <f>"85414200      "</f>
        <v xml:space="preserve">85414200      </v>
      </c>
      <c r="C696" t="s">
        <v>1259</v>
      </c>
      <c r="D696" t="s">
        <v>1260</v>
      </c>
      <c r="E696" s="3">
        <v>44562</v>
      </c>
      <c r="G696" t="s">
        <v>1168</v>
      </c>
      <c r="H696" t="s">
        <v>1254</v>
      </c>
    </row>
    <row r="697" spans="1:9" x14ac:dyDescent="0.25">
      <c r="A697" t="s">
        <v>12</v>
      </c>
      <c r="B697" t="str">
        <f>"85414300      "</f>
        <v xml:space="preserve">85414300      </v>
      </c>
      <c r="C697" t="s">
        <v>1261</v>
      </c>
      <c r="D697" t="s">
        <v>1262</v>
      </c>
      <c r="E697" s="3">
        <v>44562</v>
      </c>
      <c r="G697" t="s">
        <v>1168</v>
      </c>
      <c r="H697" t="s">
        <v>1254</v>
      </c>
    </row>
    <row r="698" spans="1:9" x14ac:dyDescent="0.25">
      <c r="A698" t="s">
        <v>12</v>
      </c>
      <c r="B698" t="str">
        <f>"85414900      "</f>
        <v xml:space="preserve">85414900      </v>
      </c>
      <c r="C698" t="s">
        <v>1263</v>
      </c>
      <c r="D698" t="s">
        <v>1264</v>
      </c>
      <c r="E698" s="3">
        <v>44562</v>
      </c>
      <c r="G698" t="s">
        <v>1168</v>
      </c>
      <c r="H698" t="s">
        <v>1254</v>
      </c>
    </row>
    <row r="699" spans="1:9" x14ac:dyDescent="0.25">
      <c r="A699" t="s">
        <v>2</v>
      </c>
      <c r="B699" t="str">
        <f>"85415000      "</f>
        <v xml:space="preserve">85415000      </v>
      </c>
      <c r="C699" t="s">
        <v>1265</v>
      </c>
      <c r="E699" s="3">
        <v>41122</v>
      </c>
      <c r="F699" s="3">
        <v>44562</v>
      </c>
      <c r="G699" t="s">
        <v>1168</v>
      </c>
      <c r="H699" t="s">
        <v>1254</v>
      </c>
      <c r="I699" t="s">
        <v>1266</v>
      </c>
    </row>
    <row r="700" spans="1:9" x14ac:dyDescent="0.25">
      <c r="A700" t="s">
        <v>12</v>
      </c>
      <c r="B700" t="str">
        <f>"85415100      "</f>
        <v xml:space="preserve">85415100      </v>
      </c>
      <c r="C700" t="s">
        <v>1267</v>
      </c>
      <c r="D700" t="s">
        <v>1268</v>
      </c>
      <c r="E700" s="3">
        <v>44562</v>
      </c>
      <c r="G700" t="s">
        <v>1168</v>
      </c>
      <c r="H700" t="s">
        <v>1254</v>
      </c>
    </row>
    <row r="701" spans="1:9" x14ac:dyDescent="0.25">
      <c r="A701" t="s">
        <v>12</v>
      </c>
      <c r="B701" t="str">
        <f>"85415900      "</f>
        <v xml:space="preserve">85415900      </v>
      </c>
      <c r="C701" t="s">
        <v>1269</v>
      </c>
      <c r="D701" t="s">
        <v>1270</v>
      </c>
      <c r="E701" s="3">
        <v>44562</v>
      </c>
      <c r="G701" t="s">
        <v>1168</v>
      </c>
      <c r="H701" t="s">
        <v>1254</v>
      </c>
    </row>
    <row r="702" spans="1:9" x14ac:dyDescent="0.25">
      <c r="A702" t="s">
        <v>12</v>
      </c>
      <c r="B702" t="str">
        <f>"85434000      "</f>
        <v xml:space="preserve">85434000      </v>
      </c>
      <c r="C702" t="s">
        <v>1271</v>
      </c>
      <c r="D702" t="s">
        <v>1272</v>
      </c>
      <c r="E702" s="3">
        <v>44562</v>
      </c>
      <c r="G702" t="s">
        <v>1168</v>
      </c>
      <c r="H702" t="s">
        <v>1273</v>
      </c>
    </row>
    <row r="703" spans="1:9" x14ac:dyDescent="0.25">
      <c r="A703" t="s">
        <v>2</v>
      </c>
      <c r="B703" t="str">
        <f>"85437070      "</f>
        <v xml:space="preserve">85437070      </v>
      </c>
      <c r="C703" t="s">
        <v>1274</v>
      </c>
      <c r="E703" s="3">
        <v>43466</v>
      </c>
      <c r="F703" s="3">
        <v>44562</v>
      </c>
      <c r="G703" t="s">
        <v>1168</v>
      </c>
      <c r="H703" t="s">
        <v>1273</v>
      </c>
      <c r="I703" t="s">
        <v>1275</v>
      </c>
    </row>
    <row r="704" spans="1:9" x14ac:dyDescent="0.25">
      <c r="A704" t="s">
        <v>12</v>
      </c>
      <c r="B704" t="str">
        <f>"85480020      "</f>
        <v xml:space="preserve">85480020      </v>
      </c>
      <c r="C704" t="s">
        <v>1276</v>
      </c>
      <c r="D704" t="s">
        <v>1277</v>
      </c>
      <c r="E704" s="3">
        <v>44562</v>
      </c>
      <c r="G704" t="s">
        <v>1168</v>
      </c>
    </row>
    <row r="705" spans="1:9" x14ac:dyDescent="0.25">
      <c r="A705" t="s">
        <v>12</v>
      </c>
      <c r="B705" t="str">
        <f>"85480030      "</f>
        <v xml:space="preserve">85480030      </v>
      </c>
      <c r="C705" t="s">
        <v>1278</v>
      </c>
      <c r="D705" t="s">
        <v>1279</v>
      </c>
      <c r="E705" s="3">
        <v>44562</v>
      </c>
      <c r="G705" t="s">
        <v>1168</v>
      </c>
    </row>
    <row r="706" spans="1:9" x14ac:dyDescent="0.25">
      <c r="A706" t="s">
        <v>12</v>
      </c>
      <c r="B706" t="str">
        <f>"85480090      "</f>
        <v xml:space="preserve">85480090      </v>
      </c>
      <c r="C706" t="s">
        <v>1280</v>
      </c>
      <c r="D706" t="s">
        <v>16</v>
      </c>
      <c r="E706" s="3">
        <v>44562</v>
      </c>
      <c r="G706" t="s">
        <v>1168</v>
      </c>
    </row>
    <row r="707" spans="1:9" x14ac:dyDescent="0.25">
      <c r="A707" t="s">
        <v>2</v>
      </c>
      <c r="B707" t="str">
        <f>"85481010      "</f>
        <v xml:space="preserve">85481010      </v>
      </c>
      <c r="C707" t="s">
        <v>1281</v>
      </c>
      <c r="E707" s="3">
        <v>41122</v>
      </c>
      <c r="F707" s="3">
        <v>44562</v>
      </c>
      <c r="G707" t="s">
        <v>1168</v>
      </c>
      <c r="I707" t="s">
        <v>1282</v>
      </c>
    </row>
    <row r="708" spans="1:9" x14ac:dyDescent="0.25">
      <c r="A708" t="s">
        <v>2</v>
      </c>
      <c r="B708" t="str">
        <f>"85481021      "</f>
        <v xml:space="preserve">85481021      </v>
      </c>
      <c r="C708" t="s">
        <v>1283</v>
      </c>
      <c r="E708" s="3">
        <v>41122</v>
      </c>
      <c r="F708" s="3">
        <v>44562</v>
      </c>
      <c r="G708" t="s">
        <v>1168</v>
      </c>
      <c r="I708" t="s">
        <v>1282</v>
      </c>
    </row>
    <row r="709" spans="1:9" x14ac:dyDescent="0.25">
      <c r="A709" t="s">
        <v>2</v>
      </c>
      <c r="B709" t="str">
        <f>"85481029      "</f>
        <v xml:space="preserve">85481029      </v>
      </c>
      <c r="C709" t="s">
        <v>1284</v>
      </c>
      <c r="E709" s="3">
        <v>41122</v>
      </c>
      <c r="F709" s="3">
        <v>44562</v>
      </c>
      <c r="G709" t="s">
        <v>1168</v>
      </c>
      <c r="I709" t="s">
        <v>1282</v>
      </c>
    </row>
    <row r="710" spans="1:9" x14ac:dyDescent="0.25">
      <c r="A710" t="s">
        <v>2</v>
      </c>
      <c r="B710" t="str">
        <f>"85481091      "</f>
        <v xml:space="preserve">85481091      </v>
      </c>
      <c r="C710" t="s">
        <v>1285</v>
      </c>
      <c r="E710" s="3">
        <v>41122</v>
      </c>
      <c r="F710" s="3">
        <v>44562</v>
      </c>
      <c r="G710" t="s">
        <v>1168</v>
      </c>
      <c r="I710" t="s">
        <v>1282</v>
      </c>
    </row>
    <row r="711" spans="1:9" x14ac:dyDescent="0.25">
      <c r="A711" t="s">
        <v>2</v>
      </c>
      <c r="B711" t="str">
        <f>"85481099      "</f>
        <v xml:space="preserve">85481099      </v>
      </c>
      <c r="C711" t="s">
        <v>1286</v>
      </c>
      <c r="E711" s="3">
        <v>41122</v>
      </c>
      <c r="F711" s="3">
        <v>44562</v>
      </c>
      <c r="G711" t="s">
        <v>1168</v>
      </c>
      <c r="I711" t="s">
        <v>1282</v>
      </c>
    </row>
    <row r="712" spans="1:9" x14ac:dyDescent="0.25">
      <c r="A712" t="s">
        <v>2</v>
      </c>
      <c r="B712" t="str">
        <f>"85489020      "</f>
        <v xml:space="preserve">85489020      </v>
      </c>
      <c r="C712" t="s">
        <v>1287</v>
      </c>
      <c r="E712" s="3">
        <v>41122</v>
      </c>
      <c r="F712" s="3">
        <v>44562</v>
      </c>
      <c r="G712" t="s">
        <v>1168</v>
      </c>
      <c r="I712" t="s">
        <v>16</v>
      </c>
    </row>
    <row r="713" spans="1:9" x14ac:dyDescent="0.25">
      <c r="A713" t="s">
        <v>2</v>
      </c>
      <c r="B713" t="str">
        <f>"85489030      "</f>
        <v xml:space="preserve">85489030      </v>
      </c>
      <c r="C713" t="s">
        <v>1288</v>
      </c>
      <c r="E713" s="3">
        <v>42736</v>
      </c>
      <c r="F713" s="3">
        <v>44562</v>
      </c>
      <c r="G713" t="s">
        <v>1168</v>
      </c>
      <c r="I713" t="s">
        <v>16</v>
      </c>
    </row>
    <row r="714" spans="1:9" x14ac:dyDescent="0.25">
      <c r="A714" t="s">
        <v>2</v>
      </c>
      <c r="B714" t="str">
        <f>"85489090      "</f>
        <v xml:space="preserve">85489090      </v>
      </c>
      <c r="C714" t="s">
        <v>1289</v>
      </c>
      <c r="E714" s="3">
        <v>41122</v>
      </c>
      <c r="F714" s="3">
        <v>44562</v>
      </c>
      <c r="G714" t="s">
        <v>1168</v>
      </c>
      <c r="I714" t="s">
        <v>16</v>
      </c>
    </row>
    <row r="715" spans="1:9" x14ac:dyDescent="0.25">
      <c r="A715" t="s">
        <v>12</v>
      </c>
      <c r="B715" t="str">
        <f>"85491110      "</f>
        <v xml:space="preserve">85491110      </v>
      </c>
      <c r="C715" t="s">
        <v>1290</v>
      </c>
      <c r="D715" t="s">
        <v>1291</v>
      </c>
      <c r="E715" s="3">
        <v>44562</v>
      </c>
      <c r="G715" t="s">
        <v>1168</v>
      </c>
      <c r="H715" t="s">
        <v>1292</v>
      </c>
    </row>
    <row r="716" spans="1:9" x14ac:dyDescent="0.25">
      <c r="A716" t="s">
        <v>12</v>
      </c>
      <c r="B716" t="str">
        <f>"85491190      "</f>
        <v xml:space="preserve">85491190      </v>
      </c>
      <c r="C716" t="s">
        <v>1293</v>
      </c>
      <c r="D716" t="s">
        <v>1294</v>
      </c>
      <c r="E716" s="3">
        <v>44562</v>
      </c>
      <c r="G716" t="s">
        <v>1168</v>
      </c>
      <c r="H716" t="s">
        <v>1292</v>
      </c>
    </row>
    <row r="717" spans="1:9" x14ac:dyDescent="0.25">
      <c r="A717" t="s">
        <v>12</v>
      </c>
      <c r="B717" t="str">
        <f>"85491210      "</f>
        <v xml:space="preserve">85491210      </v>
      </c>
      <c r="C717" t="s">
        <v>1295</v>
      </c>
      <c r="D717" t="s">
        <v>1296</v>
      </c>
      <c r="E717" s="3">
        <v>44562</v>
      </c>
      <c r="G717" t="s">
        <v>1168</v>
      </c>
      <c r="H717" t="s">
        <v>1292</v>
      </c>
    </row>
    <row r="718" spans="1:9" x14ac:dyDescent="0.25">
      <c r="A718" t="s">
        <v>12</v>
      </c>
      <c r="B718" t="str">
        <f>"85491220      "</f>
        <v xml:space="preserve">85491220      </v>
      </c>
      <c r="C718" t="s">
        <v>1297</v>
      </c>
      <c r="D718" t="s">
        <v>1298</v>
      </c>
      <c r="E718" s="3">
        <v>44562</v>
      </c>
      <c r="G718" t="s">
        <v>1168</v>
      </c>
      <c r="H718" t="s">
        <v>1292</v>
      </c>
    </row>
    <row r="719" spans="1:9" x14ac:dyDescent="0.25">
      <c r="A719" t="s">
        <v>12</v>
      </c>
      <c r="B719" t="str">
        <f>"85491290      "</f>
        <v xml:space="preserve">85491290      </v>
      </c>
      <c r="C719" t="s">
        <v>1299</v>
      </c>
      <c r="D719" t="s">
        <v>16</v>
      </c>
      <c r="E719" s="3">
        <v>44562</v>
      </c>
      <c r="G719" t="s">
        <v>1168</v>
      </c>
      <c r="H719" t="s">
        <v>1292</v>
      </c>
    </row>
    <row r="720" spans="1:9" x14ac:dyDescent="0.25">
      <c r="A720" t="s">
        <v>12</v>
      </c>
      <c r="B720" t="str">
        <f>"85491310      "</f>
        <v xml:space="preserve">85491310      </v>
      </c>
      <c r="C720" t="s">
        <v>1300</v>
      </c>
      <c r="D720" t="s">
        <v>1296</v>
      </c>
      <c r="E720" s="3">
        <v>44562</v>
      </c>
      <c r="G720" t="s">
        <v>1168</v>
      </c>
      <c r="H720" t="s">
        <v>1292</v>
      </c>
    </row>
    <row r="721" spans="1:9" x14ac:dyDescent="0.25">
      <c r="A721" t="s">
        <v>12</v>
      </c>
      <c r="B721" t="str">
        <f>"85491320      "</f>
        <v xml:space="preserve">85491320      </v>
      </c>
      <c r="C721" t="s">
        <v>1301</v>
      </c>
      <c r="D721" t="s">
        <v>1298</v>
      </c>
      <c r="E721" s="3">
        <v>44562</v>
      </c>
      <c r="G721" t="s">
        <v>1168</v>
      </c>
      <c r="H721" t="s">
        <v>1292</v>
      </c>
    </row>
    <row r="722" spans="1:9" x14ac:dyDescent="0.25">
      <c r="A722" t="s">
        <v>12</v>
      </c>
      <c r="B722" t="str">
        <f>"85491390      "</f>
        <v xml:space="preserve">85491390      </v>
      </c>
      <c r="C722" t="s">
        <v>1302</v>
      </c>
      <c r="D722" t="s">
        <v>16</v>
      </c>
      <c r="E722" s="3">
        <v>44562</v>
      </c>
      <c r="G722" t="s">
        <v>1168</v>
      </c>
      <c r="H722" t="s">
        <v>1292</v>
      </c>
    </row>
    <row r="723" spans="1:9" x14ac:dyDescent="0.25">
      <c r="A723" t="s">
        <v>12</v>
      </c>
      <c r="B723" t="str">
        <f>"85491410      "</f>
        <v xml:space="preserve">85491410      </v>
      </c>
      <c r="C723" t="s">
        <v>1303</v>
      </c>
      <c r="D723" t="s">
        <v>1296</v>
      </c>
      <c r="E723" s="3">
        <v>44562</v>
      </c>
      <c r="G723" t="s">
        <v>1168</v>
      </c>
      <c r="H723" t="s">
        <v>1292</v>
      </c>
    </row>
    <row r="724" spans="1:9" x14ac:dyDescent="0.25">
      <c r="A724" t="s">
        <v>12</v>
      </c>
      <c r="B724" t="str">
        <f>"85491420      "</f>
        <v xml:space="preserve">85491420      </v>
      </c>
      <c r="C724" t="s">
        <v>1304</v>
      </c>
      <c r="D724" t="s">
        <v>1298</v>
      </c>
      <c r="E724" s="3">
        <v>44562</v>
      </c>
      <c r="G724" t="s">
        <v>1168</v>
      </c>
      <c r="H724" t="s">
        <v>1292</v>
      </c>
    </row>
    <row r="725" spans="1:9" x14ac:dyDescent="0.25">
      <c r="A725" t="s">
        <v>12</v>
      </c>
      <c r="B725" t="str">
        <f>"85491490      "</f>
        <v xml:space="preserve">85491490      </v>
      </c>
      <c r="C725" t="s">
        <v>1305</v>
      </c>
      <c r="D725" t="s">
        <v>16</v>
      </c>
      <c r="E725" s="3">
        <v>44562</v>
      </c>
      <c r="G725" t="s">
        <v>1168</v>
      </c>
      <c r="H725" t="s">
        <v>1292</v>
      </c>
    </row>
    <row r="726" spans="1:9" x14ac:dyDescent="0.25">
      <c r="A726" t="s">
        <v>12</v>
      </c>
      <c r="B726" t="str">
        <f>"85491910      "</f>
        <v xml:space="preserve">85491910      </v>
      </c>
      <c r="C726" t="s">
        <v>1306</v>
      </c>
      <c r="D726" t="s">
        <v>1296</v>
      </c>
      <c r="E726" s="3">
        <v>44562</v>
      </c>
      <c r="G726" t="s">
        <v>1168</v>
      </c>
      <c r="H726" t="s">
        <v>1292</v>
      </c>
    </row>
    <row r="727" spans="1:9" x14ac:dyDescent="0.25">
      <c r="A727" t="s">
        <v>12</v>
      </c>
      <c r="B727" t="str">
        <f>"85491920      "</f>
        <v xml:space="preserve">85491920      </v>
      </c>
      <c r="C727" t="s">
        <v>1307</v>
      </c>
      <c r="D727" t="s">
        <v>1298</v>
      </c>
      <c r="E727" s="3">
        <v>44562</v>
      </c>
      <c r="G727" t="s">
        <v>1168</v>
      </c>
      <c r="H727" t="s">
        <v>1292</v>
      </c>
    </row>
    <row r="728" spans="1:9" x14ac:dyDescent="0.25">
      <c r="A728" t="s">
        <v>12</v>
      </c>
      <c r="B728" t="str">
        <f>"85491990      "</f>
        <v xml:space="preserve">85491990      </v>
      </c>
      <c r="C728" t="s">
        <v>1308</v>
      </c>
      <c r="D728" t="s">
        <v>16</v>
      </c>
      <c r="E728" s="3">
        <v>44562</v>
      </c>
      <c r="G728" t="s">
        <v>1168</v>
      </c>
      <c r="H728" t="s">
        <v>1292</v>
      </c>
    </row>
    <row r="729" spans="1:9" x14ac:dyDescent="0.25">
      <c r="A729" t="s">
        <v>12</v>
      </c>
      <c r="B729" t="str">
        <f>"85492100      "</f>
        <v xml:space="preserve">85492100      </v>
      </c>
      <c r="C729" t="s">
        <v>1309</v>
      </c>
      <c r="D729" t="s">
        <v>1310</v>
      </c>
      <c r="E729" s="3">
        <v>44562</v>
      </c>
      <c r="G729" t="s">
        <v>1168</v>
      </c>
      <c r="H729" t="s">
        <v>1292</v>
      </c>
    </row>
    <row r="730" spans="1:9" x14ac:dyDescent="0.25">
      <c r="A730" t="s">
        <v>12</v>
      </c>
      <c r="B730" t="str">
        <f>"85492900      "</f>
        <v xml:space="preserve">85492900      </v>
      </c>
      <c r="C730" t="s">
        <v>1311</v>
      </c>
      <c r="D730" t="s">
        <v>1312</v>
      </c>
      <c r="E730" s="3">
        <v>44562</v>
      </c>
      <c r="G730" t="s">
        <v>1168</v>
      </c>
      <c r="H730" t="s">
        <v>1292</v>
      </c>
    </row>
    <row r="731" spans="1:9" x14ac:dyDescent="0.25">
      <c r="A731" t="s">
        <v>12</v>
      </c>
      <c r="B731" t="str">
        <f>"85493100      "</f>
        <v xml:space="preserve">85493100      </v>
      </c>
      <c r="C731" t="s">
        <v>1313</v>
      </c>
      <c r="D731" t="s">
        <v>1314</v>
      </c>
      <c r="E731" s="3">
        <v>44562</v>
      </c>
      <c r="G731" t="s">
        <v>1168</v>
      </c>
      <c r="H731" t="s">
        <v>1292</v>
      </c>
    </row>
    <row r="732" spans="1:9" x14ac:dyDescent="0.25">
      <c r="A732" t="s">
        <v>12</v>
      </c>
      <c r="B732" t="str">
        <f>"85493900      "</f>
        <v xml:space="preserve">85493900      </v>
      </c>
      <c r="C732" t="s">
        <v>1315</v>
      </c>
      <c r="D732" t="s">
        <v>1316</v>
      </c>
      <c r="E732" s="3">
        <v>44562</v>
      </c>
      <c r="G732" t="s">
        <v>1168</v>
      </c>
      <c r="H732" t="s">
        <v>1292</v>
      </c>
    </row>
    <row r="733" spans="1:9" x14ac:dyDescent="0.25">
      <c r="A733" t="s">
        <v>12</v>
      </c>
      <c r="B733" t="str">
        <f>"85499100      "</f>
        <v xml:space="preserve">85499100      </v>
      </c>
      <c r="C733" t="s">
        <v>1317</v>
      </c>
      <c r="D733" t="s">
        <v>1318</v>
      </c>
      <c r="E733" s="3">
        <v>44562</v>
      </c>
      <c r="G733" t="s">
        <v>1168</v>
      </c>
      <c r="H733" t="s">
        <v>1292</v>
      </c>
    </row>
    <row r="734" spans="1:9" x14ac:dyDescent="0.25">
      <c r="A734" t="s">
        <v>12</v>
      </c>
      <c r="B734" t="str">
        <f>"85499900      "</f>
        <v xml:space="preserve">85499900      </v>
      </c>
      <c r="C734" t="s">
        <v>1319</v>
      </c>
      <c r="D734" t="s">
        <v>78</v>
      </c>
      <c r="E734" s="3">
        <v>44562</v>
      </c>
      <c r="G734" t="s">
        <v>1168</v>
      </c>
      <c r="H734" t="s">
        <v>1292</v>
      </c>
    </row>
    <row r="735" spans="1:9" x14ac:dyDescent="0.25">
      <c r="A735" t="s">
        <v>2</v>
      </c>
      <c r="B735" t="str">
        <f>"87012010      "</f>
        <v xml:space="preserve">87012010      </v>
      </c>
      <c r="C735" t="s">
        <v>1320</v>
      </c>
      <c r="E735" s="3">
        <v>41122</v>
      </c>
      <c r="F735" s="3">
        <v>44562</v>
      </c>
      <c r="G735" t="s">
        <v>1321</v>
      </c>
      <c r="H735" t="s">
        <v>1322</v>
      </c>
      <c r="I735" t="s">
        <v>1323</v>
      </c>
    </row>
    <row r="736" spans="1:9" x14ac:dyDescent="0.25">
      <c r="A736" t="s">
        <v>2</v>
      </c>
      <c r="B736" t="str">
        <f>"87012090      "</f>
        <v xml:space="preserve">87012090      </v>
      </c>
      <c r="C736" t="s">
        <v>1324</v>
      </c>
      <c r="E736" s="3">
        <v>41122</v>
      </c>
      <c r="F736" s="3">
        <v>44562</v>
      </c>
      <c r="G736" t="s">
        <v>1321</v>
      </c>
      <c r="H736" t="s">
        <v>1322</v>
      </c>
      <c r="I736" t="s">
        <v>1323</v>
      </c>
    </row>
    <row r="737" spans="1:8" x14ac:dyDescent="0.25">
      <c r="A737" t="s">
        <v>12</v>
      </c>
      <c r="B737" t="str">
        <f>"87012110      "</f>
        <v xml:space="preserve">87012110      </v>
      </c>
      <c r="C737" t="s">
        <v>1325</v>
      </c>
      <c r="D737" t="s">
        <v>3</v>
      </c>
      <c r="E737" s="3">
        <v>44562</v>
      </c>
      <c r="G737" t="s">
        <v>1321</v>
      </c>
      <c r="H737" t="s">
        <v>1322</v>
      </c>
    </row>
    <row r="738" spans="1:8" x14ac:dyDescent="0.25">
      <c r="A738" t="s">
        <v>12</v>
      </c>
      <c r="B738" t="str">
        <f>"87012190      "</f>
        <v xml:space="preserve">87012190      </v>
      </c>
      <c r="C738" t="s">
        <v>1326</v>
      </c>
      <c r="D738" t="s">
        <v>1327</v>
      </c>
      <c r="E738" s="3">
        <v>44562</v>
      </c>
      <c r="G738" t="s">
        <v>1321</v>
      </c>
      <c r="H738" t="s">
        <v>1322</v>
      </c>
    </row>
    <row r="739" spans="1:8" x14ac:dyDescent="0.25">
      <c r="A739" t="s">
        <v>12</v>
      </c>
      <c r="B739" t="str">
        <f>"87012210      "</f>
        <v xml:space="preserve">87012210      </v>
      </c>
      <c r="C739" t="s">
        <v>1328</v>
      </c>
      <c r="D739" t="s">
        <v>3</v>
      </c>
      <c r="E739" s="3">
        <v>44562</v>
      </c>
      <c r="G739" t="s">
        <v>1321</v>
      </c>
      <c r="H739" t="s">
        <v>1322</v>
      </c>
    </row>
    <row r="740" spans="1:8" x14ac:dyDescent="0.25">
      <c r="A740" t="s">
        <v>12</v>
      </c>
      <c r="B740" t="str">
        <f>"87012290      "</f>
        <v xml:space="preserve">87012290      </v>
      </c>
      <c r="C740" t="s">
        <v>1329</v>
      </c>
      <c r="D740" t="s">
        <v>1327</v>
      </c>
      <c r="E740" s="3">
        <v>44562</v>
      </c>
      <c r="G740" t="s">
        <v>1321</v>
      </c>
      <c r="H740" t="s">
        <v>1322</v>
      </c>
    </row>
    <row r="741" spans="1:8" x14ac:dyDescent="0.25">
      <c r="A741" t="s">
        <v>12</v>
      </c>
      <c r="B741" t="str">
        <f>"87012310      "</f>
        <v xml:space="preserve">87012310      </v>
      </c>
      <c r="C741" t="s">
        <v>1330</v>
      </c>
      <c r="D741" t="s">
        <v>3</v>
      </c>
      <c r="E741" s="3">
        <v>44562</v>
      </c>
      <c r="G741" t="s">
        <v>1321</v>
      </c>
      <c r="H741" t="s">
        <v>1322</v>
      </c>
    </row>
    <row r="742" spans="1:8" x14ac:dyDescent="0.25">
      <c r="A742" t="s">
        <v>12</v>
      </c>
      <c r="B742" t="str">
        <f>"87012390      "</f>
        <v xml:space="preserve">87012390      </v>
      </c>
      <c r="C742" t="s">
        <v>1331</v>
      </c>
      <c r="D742" t="s">
        <v>1327</v>
      </c>
      <c r="E742" s="3">
        <v>44562</v>
      </c>
      <c r="G742" t="s">
        <v>1321</v>
      </c>
      <c r="H742" t="s">
        <v>1322</v>
      </c>
    </row>
    <row r="743" spans="1:8" x14ac:dyDescent="0.25">
      <c r="A743" t="s">
        <v>12</v>
      </c>
      <c r="B743" t="str">
        <f>"87012410      "</f>
        <v xml:space="preserve">87012410      </v>
      </c>
      <c r="C743" t="s">
        <v>1332</v>
      </c>
      <c r="D743" t="s">
        <v>3</v>
      </c>
      <c r="E743" s="3">
        <v>44562</v>
      </c>
      <c r="G743" t="s">
        <v>1321</v>
      </c>
      <c r="H743" t="s">
        <v>1322</v>
      </c>
    </row>
    <row r="744" spans="1:8" x14ac:dyDescent="0.25">
      <c r="A744" t="s">
        <v>12</v>
      </c>
      <c r="B744" t="str">
        <f>"87012490      "</f>
        <v xml:space="preserve">87012490      </v>
      </c>
      <c r="C744" t="s">
        <v>1333</v>
      </c>
      <c r="D744" t="s">
        <v>1327</v>
      </c>
      <c r="E744" s="3">
        <v>44562</v>
      </c>
      <c r="G744" t="s">
        <v>1321</v>
      </c>
      <c r="H744" t="s">
        <v>1322</v>
      </c>
    </row>
    <row r="745" spans="1:8" x14ac:dyDescent="0.25">
      <c r="A745" t="s">
        <v>12</v>
      </c>
      <c r="B745" t="str">
        <f>"87012900      "</f>
        <v xml:space="preserve">87012900      </v>
      </c>
      <c r="C745" t="s">
        <v>1334</v>
      </c>
      <c r="D745" t="s">
        <v>1335</v>
      </c>
      <c r="E745" s="3">
        <v>44562</v>
      </c>
      <c r="G745" t="s">
        <v>1321</v>
      </c>
      <c r="H745" t="s">
        <v>1322</v>
      </c>
    </row>
    <row r="746" spans="1:8" x14ac:dyDescent="0.25">
      <c r="A746" t="s">
        <v>12</v>
      </c>
      <c r="B746" t="str">
        <f>"87044110      "</f>
        <v xml:space="preserve">87044110      </v>
      </c>
      <c r="C746" t="s">
        <v>1336</v>
      </c>
      <c r="D746" t="s">
        <v>1337</v>
      </c>
      <c r="E746" s="3">
        <v>44562</v>
      </c>
      <c r="G746" t="s">
        <v>1321</v>
      </c>
      <c r="H746" t="s">
        <v>1338</v>
      </c>
    </row>
    <row r="747" spans="1:8" x14ac:dyDescent="0.25">
      <c r="A747" t="s">
        <v>12</v>
      </c>
      <c r="B747" t="str">
        <f>"87044131      "</f>
        <v xml:space="preserve">87044131      </v>
      </c>
      <c r="C747" t="s">
        <v>1339</v>
      </c>
      <c r="D747" t="s">
        <v>1340</v>
      </c>
      <c r="E747" s="3">
        <v>44562</v>
      </c>
      <c r="G747" t="s">
        <v>1321</v>
      </c>
      <c r="H747" t="s">
        <v>1338</v>
      </c>
    </row>
    <row r="748" spans="1:8" x14ac:dyDescent="0.25">
      <c r="A748" t="s">
        <v>12</v>
      </c>
      <c r="B748" t="str">
        <f>"87044139      "</f>
        <v xml:space="preserve">87044139      </v>
      </c>
      <c r="C748" t="s">
        <v>1341</v>
      </c>
      <c r="D748" t="s">
        <v>1342</v>
      </c>
      <c r="E748" s="3">
        <v>44562</v>
      </c>
      <c r="G748" t="s">
        <v>1321</v>
      </c>
      <c r="H748" t="s">
        <v>1338</v>
      </c>
    </row>
    <row r="749" spans="1:8" x14ac:dyDescent="0.25">
      <c r="A749" t="s">
        <v>12</v>
      </c>
      <c r="B749" t="str">
        <f>"87044191      "</f>
        <v xml:space="preserve">87044191      </v>
      </c>
      <c r="C749" t="s">
        <v>1343</v>
      </c>
      <c r="D749" t="s">
        <v>1344</v>
      </c>
      <c r="E749" s="3">
        <v>44562</v>
      </c>
      <c r="G749" t="s">
        <v>1321</v>
      </c>
      <c r="H749" t="s">
        <v>1338</v>
      </c>
    </row>
    <row r="750" spans="1:8" x14ac:dyDescent="0.25">
      <c r="A750" t="s">
        <v>12</v>
      </c>
      <c r="B750" t="str">
        <f>"87044199      "</f>
        <v xml:space="preserve">87044199      </v>
      </c>
      <c r="C750" t="s">
        <v>1345</v>
      </c>
      <c r="D750" t="s">
        <v>1346</v>
      </c>
      <c r="E750" s="3">
        <v>44562</v>
      </c>
      <c r="G750" t="s">
        <v>1321</v>
      </c>
      <c r="H750" t="s">
        <v>1338</v>
      </c>
    </row>
    <row r="751" spans="1:8" x14ac:dyDescent="0.25">
      <c r="A751" t="s">
        <v>12</v>
      </c>
      <c r="B751" t="str">
        <f>"87044210      "</f>
        <v xml:space="preserve">87044210      </v>
      </c>
      <c r="C751" t="s">
        <v>1347</v>
      </c>
      <c r="D751" t="s">
        <v>1337</v>
      </c>
      <c r="E751" s="3">
        <v>44562</v>
      </c>
      <c r="G751" t="s">
        <v>1321</v>
      </c>
      <c r="H751" t="s">
        <v>1338</v>
      </c>
    </row>
    <row r="752" spans="1:8" x14ac:dyDescent="0.25">
      <c r="A752" t="s">
        <v>12</v>
      </c>
      <c r="B752" t="str">
        <f>"87044291      "</f>
        <v xml:space="preserve">87044291      </v>
      </c>
      <c r="C752" t="s">
        <v>1348</v>
      </c>
      <c r="D752" t="s">
        <v>1349</v>
      </c>
      <c r="E752" s="3">
        <v>44562</v>
      </c>
      <c r="G752" t="s">
        <v>1321</v>
      </c>
      <c r="H752" t="s">
        <v>1338</v>
      </c>
    </row>
    <row r="753" spans="1:9" x14ac:dyDescent="0.25">
      <c r="A753" t="s">
        <v>12</v>
      </c>
      <c r="B753" t="str">
        <f>"87044299      "</f>
        <v xml:space="preserve">87044299      </v>
      </c>
      <c r="C753" t="s">
        <v>1350</v>
      </c>
      <c r="D753" t="s">
        <v>1351</v>
      </c>
      <c r="E753" s="3">
        <v>44562</v>
      </c>
      <c r="G753" t="s">
        <v>1321</v>
      </c>
      <c r="H753" t="s">
        <v>1338</v>
      </c>
    </row>
    <row r="754" spans="1:9" x14ac:dyDescent="0.25">
      <c r="A754" t="s">
        <v>12</v>
      </c>
      <c r="B754" t="str">
        <f>"87044310      "</f>
        <v xml:space="preserve">87044310      </v>
      </c>
      <c r="C754" t="s">
        <v>1352</v>
      </c>
      <c r="D754" t="s">
        <v>1337</v>
      </c>
      <c r="E754" s="3">
        <v>44562</v>
      </c>
      <c r="G754" t="s">
        <v>1321</v>
      </c>
      <c r="H754" t="s">
        <v>1338</v>
      </c>
    </row>
    <row r="755" spans="1:9" x14ac:dyDescent="0.25">
      <c r="A755" t="s">
        <v>12</v>
      </c>
      <c r="B755" t="str">
        <f>"87044391      "</f>
        <v xml:space="preserve">87044391      </v>
      </c>
      <c r="C755" t="s">
        <v>1353</v>
      </c>
      <c r="D755" t="s">
        <v>1349</v>
      </c>
      <c r="E755" s="3">
        <v>44562</v>
      </c>
      <c r="G755" t="s">
        <v>1321</v>
      </c>
      <c r="H755" t="s">
        <v>1338</v>
      </c>
    </row>
    <row r="756" spans="1:9" x14ac:dyDescent="0.25">
      <c r="A756" t="s">
        <v>12</v>
      </c>
      <c r="B756" t="str">
        <f>"87044399      "</f>
        <v xml:space="preserve">87044399      </v>
      </c>
      <c r="C756" t="s">
        <v>1354</v>
      </c>
      <c r="D756" t="s">
        <v>1351</v>
      </c>
      <c r="E756" s="3">
        <v>44562</v>
      </c>
      <c r="G756" t="s">
        <v>1321</v>
      </c>
      <c r="H756" t="s">
        <v>1338</v>
      </c>
    </row>
    <row r="757" spans="1:9" x14ac:dyDescent="0.25">
      <c r="A757" t="s">
        <v>12</v>
      </c>
      <c r="B757" t="str">
        <f>"87045110      "</f>
        <v xml:space="preserve">87045110      </v>
      </c>
      <c r="C757" t="s">
        <v>1355</v>
      </c>
      <c r="D757" t="s">
        <v>1337</v>
      </c>
      <c r="E757" s="3">
        <v>44562</v>
      </c>
      <c r="G757" t="s">
        <v>1321</v>
      </c>
      <c r="H757" t="s">
        <v>1338</v>
      </c>
    </row>
    <row r="758" spans="1:9" x14ac:dyDescent="0.25">
      <c r="A758" t="s">
        <v>12</v>
      </c>
      <c r="B758" t="str">
        <f>"87045131      "</f>
        <v xml:space="preserve">87045131      </v>
      </c>
      <c r="C758" t="s">
        <v>1356</v>
      </c>
      <c r="D758" t="s">
        <v>1357</v>
      </c>
      <c r="E758" s="3">
        <v>44562</v>
      </c>
      <c r="G758" t="s">
        <v>1321</v>
      </c>
      <c r="H758" t="s">
        <v>1338</v>
      </c>
    </row>
    <row r="759" spans="1:9" x14ac:dyDescent="0.25">
      <c r="A759" t="s">
        <v>12</v>
      </c>
      <c r="B759" t="str">
        <f>"87045139      "</f>
        <v xml:space="preserve">87045139      </v>
      </c>
      <c r="C759" t="s">
        <v>1358</v>
      </c>
      <c r="D759" t="s">
        <v>1359</v>
      </c>
      <c r="E759" s="3">
        <v>44562</v>
      </c>
      <c r="G759" t="s">
        <v>1321</v>
      </c>
      <c r="H759" t="s">
        <v>1338</v>
      </c>
    </row>
    <row r="760" spans="1:9" x14ac:dyDescent="0.25">
      <c r="A760" t="s">
        <v>12</v>
      </c>
      <c r="B760" t="str">
        <f>"87045191      "</f>
        <v xml:space="preserve">87045191      </v>
      </c>
      <c r="C760" t="s">
        <v>1360</v>
      </c>
      <c r="D760" t="s">
        <v>1361</v>
      </c>
      <c r="E760" s="3">
        <v>44562</v>
      </c>
      <c r="G760" t="s">
        <v>1321</v>
      </c>
      <c r="H760" t="s">
        <v>1338</v>
      </c>
    </row>
    <row r="761" spans="1:9" x14ac:dyDescent="0.25">
      <c r="A761" t="s">
        <v>12</v>
      </c>
      <c r="B761" t="str">
        <f>"87045199      "</f>
        <v xml:space="preserve">87045199      </v>
      </c>
      <c r="C761" t="s">
        <v>1362</v>
      </c>
      <c r="D761" t="s">
        <v>1363</v>
      </c>
      <c r="E761" s="3">
        <v>44562</v>
      </c>
      <c r="G761" t="s">
        <v>1321</v>
      </c>
      <c r="H761" t="s">
        <v>1338</v>
      </c>
    </row>
    <row r="762" spans="1:9" x14ac:dyDescent="0.25">
      <c r="A762" t="s">
        <v>12</v>
      </c>
      <c r="B762" t="str">
        <f>"87045210      "</f>
        <v xml:space="preserve">87045210      </v>
      </c>
      <c r="C762" t="s">
        <v>1364</v>
      </c>
      <c r="D762" t="s">
        <v>1337</v>
      </c>
      <c r="E762" s="3">
        <v>44562</v>
      </c>
      <c r="G762" t="s">
        <v>1321</v>
      </c>
      <c r="H762" t="s">
        <v>1338</v>
      </c>
    </row>
    <row r="763" spans="1:9" x14ac:dyDescent="0.25">
      <c r="A763" t="s">
        <v>12</v>
      </c>
      <c r="B763" t="str">
        <f>"87045291      "</f>
        <v xml:space="preserve">87045291      </v>
      </c>
      <c r="C763" t="s">
        <v>1365</v>
      </c>
      <c r="D763" t="s">
        <v>1349</v>
      </c>
      <c r="E763" s="3">
        <v>44562</v>
      </c>
      <c r="G763" t="s">
        <v>1321</v>
      </c>
      <c r="H763" t="s">
        <v>1338</v>
      </c>
    </row>
    <row r="764" spans="1:9" x14ac:dyDescent="0.25">
      <c r="A764" t="s">
        <v>12</v>
      </c>
      <c r="B764" t="str">
        <f>"87045299      "</f>
        <v xml:space="preserve">87045299      </v>
      </c>
      <c r="C764" t="s">
        <v>1366</v>
      </c>
      <c r="D764" t="s">
        <v>1351</v>
      </c>
      <c r="E764" s="3">
        <v>44562</v>
      </c>
      <c r="G764" t="s">
        <v>1321</v>
      </c>
      <c r="H764" t="s">
        <v>1338</v>
      </c>
    </row>
    <row r="765" spans="1:9" x14ac:dyDescent="0.25">
      <c r="A765" t="s">
        <v>12</v>
      </c>
      <c r="B765" t="str">
        <f>"87046000      "</f>
        <v xml:space="preserve">87046000      </v>
      </c>
      <c r="C765" t="s">
        <v>1367</v>
      </c>
      <c r="D765" t="s">
        <v>1368</v>
      </c>
      <c r="E765" s="3">
        <v>44562</v>
      </c>
      <c r="G765" t="s">
        <v>1321</v>
      </c>
      <c r="H765" t="s">
        <v>1338</v>
      </c>
    </row>
    <row r="766" spans="1:9" x14ac:dyDescent="0.25">
      <c r="A766" t="s">
        <v>12</v>
      </c>
      <c r="B766" t="str">
        <f>"87082210      "</f>
        <v xml:space="preserve">87082210      </v>
      </c>
      <c r="C766" t="s">
        <v>1369</v>
      </c>
      <c r="D766" t="s">
        <v>1370</v>
      </c>
      <c r="E766" s="3">
        <v>44562</v>
      </c>
      <c r="G766" t="s">
        <v>1321</v>
      </c>
      <c r="H766" t="s">
        <v>1371</v>
      </c>
      <c r="I766" t="s">
        <v>1372</v>
      </c>
    </row>
    <row r="767" spans="1:9" x14ac:dyDescent="0.25">
      <c r="A767" t="s">
        <v>12</v>
      </c>
      <c r="B767" t="str">
        <f>"87082290      "</f>
        <v xml:space="preserve">87082290      </v>
      </c>
      <c r="C767" t="s">
        <v>1373</v>
      </c>
      <c r="D767" t="s">
        <v>16</v>
      </c>
      <c r="E767" s="3">
        <v>44562</v>
      </c>
      <c r="G767" t="s">
        <v>1321</v>
      </c>
      <c r="H767" t="s">
        <v>1371</v>
      </c>
      <c r="I767" t="s">
        <v>1372</v>
      </c>
    </row>
    <row r="768" spans="1:9" x14ac:dyDescent="0.25">
      <c r="A768" t="s">
        <v>2</v>
      </c>
      <c r="B768" t="str">
        <f>"88031000      "</f>
        <v xml:space="preserve">88031000      </v>
      </c>
      <c r="C768" t="s">
        <v>1374</v>
      </c>
      <c r="E768" s="3">
        <v>41122</v>
      </c>
      <c r="F768" s="3">
        <v>44562</v>
      </c>
      <c r="G768" t="s">
        <v>1375</v>
      </c>
      <c r="I768" t="s">
        <v>1376</v>
      </c>
    </row>
    <row r="769" spans="1:9" x14ac:dyDescent="0.25">
      <c r="A769" t="s">
        <v>2</v>
      </c>
      <c r="B769" t="str">
        <f>"88032000      "</f>
        <v xml:space="preserve">88032000      </v>
      </c>
      <c r="C769" t="s">
        <v>1377</v>
      </c>
      <c r="E769" s="3">
        <v>41122</v>
      </c>
      <c r="F769" s="3">
        <v>44562</v>
      </c>
      <c r="G769" t="s">
        <v>1375</v>
      </c>
      <c r="I769" t="s">
        <v>1378</v>
      </c>
    </row>
    <row r="770" spans="1:9" x14ac:dyDescent="0.25">
      <c r="A770" t="s">
        <v>2</v>
      </c>
      <c r="B770" t="str">
        <f>"88033000      "</f>
        <v xml:space="preserve">88033000      </v>
      </c>
      <c r="C770" t="s">
        <v>1379</v>
      </c>
      <c r="E770" s="3">
        <v>41122</v>
      </c>
      <c r="F770" s="3">
        <v>44562</v>
      </c>
      <c r="G770" t="s">
        <v>1375</v>
      </c>
      <c r="I770" t="s">
        <v>1380</v>
      </c>
    </row>
    <row r="771" spans="1:9" x14ac:dyDescent="0.25">
      <c r="A771" t="s">
        <v>2</v>
      </c>
      <c r="B771" t="str">
        <f>"88039010      "</f>
        <v xml:space="preserve">88039010      </v>
      </c>
      <c r="C771" t="s">
        <v>1381</v>
      </c>
      <c r="E771" s="3">
        <v>41122</v>
      </c>
      <c r="F771" s="3">
        <v>44562</v>
      </c>
      <c r="G771" t="s">
        <v>1375</v>
      </c>
      <c r="I771" t="s">
        <v>16</v>
      </c>
    </row>
    <row r="772" spans="1:9" x14ac:dyDescent="0.25">
      <c r="A772" t="s">
        <v>2</v>
      </c>
      <c r="B772" t="str">
        <f>"88039021      "</f>
        <v xml:space="preserve">88039021      </v>
      </c>
      <c r="C772" t="s">
        <v>1382</v>
      </c>
      <c r="E772" s="3">
        <v>42736</v>
      </c>
      <c r="F772" s="3">
        <v>44562</v>
      </c>
      <c r="G772" t="s">
        <v>1375</v>
      </c>
      <c r="I772" t="s">
        <v>16</v>
      </c>
    </row>
    <row r="773" spans="1:9" x14ac:dyDescent="0.25">
      <c r="A773" t="s">
        <v>2</v>
      </c>
      <c r="B773" t="str">
        <f>"88039029      "</f>
        <v xml:space="preserve">88039029      </v>
      </c>
      <c r="C773" t="s">
        <v>1383</v>
      </c>
      <c r="E773" s="3">
        <v>42736</v>
      </c>
      <c r="F773" s="3">
        <v>44562</v>
      </c>
      <c r="G773" t="s">
        <v>1375</v>
      </c>
      <c r="I773" t="s">
        <v>16</v>
      </c>
    </row>
    <row r="774" spans="1:9" x14ac:dyDescent="0.25">
      <c r="A774" t="s">
        <v>2</v>
      </c>
      <c r="B774" t="str">
        <f>"88039030      "</f>
        <v xml:space="preserve">88039030      </v>
      </c>
      <c r="C774" t="s">
        <v>1384</v>
      </c>
      <c r="E774" s="3">
        <v>41122</v>
      </c>
      <c r="F774" s="3">
        <v>44562</v>
      </c>
      <c r="G774" t="s">
        <v>1375</v>
      </c>
      <c r="I774" t="s">
        <v>16</v>
      </c>
    </row>
    <row r="775" spans="1:9" x14ac:dyDescent="0.25">
      <c r="A775" t="s">
        <v>2</v>
      </c>
      <c r="B775" t="str">
        <f>"88039090      "</f>
        <v xml:space="preserve">88039090      </v>
      </c>
      <c r="C775" t="s">
        <v>1385</v>
      </c>
      <c r="E775" s="3">
        <v>41122</v>
      </c>
      <c r="F775" s="3">
        <v>44562</v>
      </c>
      <c r="G775" t="s">
        <v>1375</v>
      </c>
      <c r="I775" t="s">
        <v>16</v>
      </c>
    </row>
    <row r="776" spans="1:9" x14ac:dyDescent="0.25">
      <c r="A776" t="s">
        <v>12</v>
      </c>
      <c r="B776" t="str">
        <f>"88061010      "</f>
        <v xml:space="preserve">88061010      </v>
      </c>
      <c r="C776" t="s">
        <v>1386</v>
      </c>
      <c r="D776" t="s">
        <v>1387</v>
      </c>
      <c r="E776" s="3">
        <v>44562</v>
      </c>
      <c r="G776" t="s">
        <v>1375</v>
      </c>
      <c r="H776" t="s">
        <v>1388</v>
      </c>
    </row>
    <row r="777" spans="1:9" x14ac:dyDescent="0.25">
      <c r="A777" t="s">
        <v>12</v>
      </c>
      <c r="B777" t="str">
        <f>"88061090      "</f>
        <v xml:space="preserve">88061090      </v>
      </c>
      <c r="C777" t="s">
        <v>1389</v>
      </c>
      <c r="D777" t="s">
        <v>1390</v>
      </c>
      <c r="E777" s="3">
        <v>44562</v>
      </c>
      <c r="G777" t="s">
        <v>1375</v>
      </c>
      <c r="H777" t="s">
        <v>1388</v>
      </c>
    </row>
    <row r="778" spans="1:9" x14ac:dyDescent="0.25">
      <c r="A778" t="s">
        <v>12</v>
      </c>
      <c r="B778" t="str">
        <f>"88062110      "</f>
        <v xml:space="preserve">88062110      </v>
      </c>
      <c r="C778" t="s">
        <v>1391</v>
      </c>
      <c r="D778" t="s">
        <v>1392</v>
      </c>
      <c r="E778" s="3">
        <v>44562</v>
      </c>
      <c r="G778" t="s">
        <v>1375</v>
      </c>
      <c r="H778" t="s">
        <v>1388</v>
      </c>
    </row>
    <row r="779" spans="1:9" x14ac:dyDescent="0.25">
      <c r="A779" t="s">
        <v>12</v>
      </c>
      <c r="B779" t="str">
        <f>"88062190      "</f>
        <v xml:space="preserve">88062190      </v>
      </c>
      <c r="C779" t="s">
        <v>1393</v>
      </c>
      <c r="D779" t="s">
        <v>16</v>
      </c>
      <c r="E779" s="3">
        <v>44562</v>
      </c>
      <c r="G779" t="s">
        <v>1375</v>
      </c>
      <c r="H779" t="s">
        <v>1388</v>
      </c>
    </row>
    <row r="780" spans="1:9" x14ac:dyDescent="0.25">
      <c r="A780" t="s">
        <v>12</v>
      </c>
      <c r="B780" t="str">
        <f>"88062210      "</f>
        <v xml:space="preserve">88062210      </v>
      </c>
      <c r="C780" t="s">
        <v>1394</v>
      </c>
      <c r="D780" t="s">
        <v>1392</v>
      </c>
      <c r="E780" s="3">
        <v>44562</v>
      </c>
      <c r="G780" t="s">
        <v>1375</v>
      </c>
      <c r="H780" t="s">
        <v>1388</v>
      </c>
    </row>
    <row r="781" spans="1:9" x14ac:dyDescent="0.25">
      <c r="A781" t="s">
        <v>12</v>
      </c>
      <c r="B781" t="str">
        <f>"88062290      "</f>
        <v xml:space="preserve">88062290      </v>
      </c>
      <c r="C781" t="s">
        <v>1395</v>
      </c>
      <c r="D781" t="s">
        <v>16</v>
      </c>
      <c r="E781" s="3">
        <v>44562</v>
      </c>
      <c r="G781" t="s">
        <v>1375</v>
      </c>
      <c r="H781" t="s">
        <v>1388</v>
      </c>
    </row>
    <row r="782" spans="1:9" x14ac:dyDescent="0.25">
      <c r="A782" t="s">
        <v>12</v>
      </c>
      <c r="B782" t="str">
        <f>"88062300      "</f>
        <v xml:space="preserve">88062300      </v>
      </c>
      <c r="C782" t="s">
        <v>1396</v>
      </c>
      <c r="D782" t="s">
        <v>1397</v>
      </c>
      <c r="E782" s="3">
        <v>44562</v>
      </c>
      <c r="G782" t="s">
        <v>1375</v>
      </c>
      <c r="H782" t="s">
        <v>1388</v>
      </c>
    </row>
    <row r="783" spans="1:9" x14ac:dyDescent="0.25">
      <c r="A783" t="s">
        <v>12</v>
      </c>
      <c r="B783" t="str">
        <f>"88062400      "</f>
        <v xml:space="preserve">88062400      </v>
      </c>
      <c r="C783" t="s">
        <v>1398</v>
      </c>
      <c r="D783" t="s">
        <v>1399</v>
      </c>
      <c r="E783" s="3">
        <v>44562</v>
      </c>
      <c r="G783" t="s">
        <v>1375</v>
      </c>
      <c r="H783" t="s">
        <v>1388</v>
      </c>
    </row>
    <row r="784" spans="1:9" x14ac:dyDescent="0.25">
      <c r="A784" t="s">
        <v>12</v>
      </c>
      <c r="B784" t="str">
        <f>"88062910      "</f>
        <v xml:space="preserve">88062910      </v>
      </c>
      <c r="C784" t="s">
        <v>1400</v>
      </c>
      <c r="D784" t="s">
        <v>1401</v>
      </c>
      <c r="E784" s="3">
        <v>44562</v>
      </c>
      <c r="G784" t="s">
        <v>1375</v>
      </c>
      <c r="H784" t="s">
        <v>1388</v>
      </c>
    </row>
    <row r="785" spans="1:9" x14ac:dyDescent="0.25">
      <c r="A785" t="s">
        <v>12</v>
      </c>
      <c r="B785" t="str">
        <f>"88062920      "</f>
        <v xml:space="preserve">88062920      </v>
      </c>
      <c r="C785" t="s">
        <v>1402</v>
      </c>
      <c r="D785" t="s">
        <v>1403</v>
      </c>
      <c r="E785" s="3">
        <v>44562</v>
      </c>
      <c r="G785" t="s">
        <v>1375</v>
      </c>
      <c r="H785" t="s">
        <v>1388</v>
      </c>
    </row>
    <row r="786" spans="1:9" x14ac:dyDescent="0.25">
      <c r="A786" t="s">
        <v>12</v>
      </c>
      <c r="B786" t="str">
        <f>"88069100      "</f>
        <v xml:space="preserve">88069100      </v>
      </c>
      <c r="C786" t="s">
        <v>1404</v>
      </c>
      <c r="D786" t="s">
        <v>1405</v>
      </c>
      <c r="E786" s="3">
        <v>44562</v>
      </c>
      <c r="G786" t="s">
        <v>1375</v>
      </c>
      <c r="H786" t="s">
        <v>1388</v>
      </c>
    </row>
    <row r="787" spans="1:9" x14ac:dyDescent="0.25">
      <c r="A787" t="s">
        <v>12</v>
      </c>
      <c r="B787" t="str">
        <f>"88069200      "</f>
        <v xml:space="preserve">88069200      </v>
      </c>
      <c r="C787" t="s">
        <v>1406</v>
      </c>
      <c r="D787" t="s">
        <v>1407</v>
      </c>
      <c r="E787" s="3">
        <v>44562</v>
      </c>
      <c r="G787" t="s">
        <v>1375</v>
      </c>
      <c r="H787" t="s">
        <v>1388</v>
      </c>
    </row>
    <row r="788" spans="1:9" x14ac:dyDescent="0.25">
      <c r="A788" t="s">
        <v>12</v>
      </c>
      <c r="B788" t="str">
        <f>"88069300      "</f>
        <v xml:space="preserve">88069300      </v>
      </c>
      <c r="C788" t="s">
        <v>1408</v>
      </c>
      <c r="D788" t="s">
        <v>1409</v>
      </c>
      <c r="E788" s="3">
        <v>44562</v>
      </c>
      <c r="G788" t="s">
        <v>1375</v>
      </c>
      <c r="H788" t="s">
        <v>1388</v>
      </c>
    </row>
    <row r="789" spans="1:9" x14ac:dyDescent="0.25">
      <c r="A789" t="s">
        <v>12</v>
      </c>
      <c r="B789" t="str">
        <f>"88069400      "</f>
        <v xml:space="preserve">88069400      </v>
      </c>
      <c r="C789" t="s">
        <v>1410</v>
      </c>
      <c r="D789" t="s">
        <v>1411</v>
      </c>
      <c r="E789" s="3">
        <v>44562</v>
      </c>
      <c r="G789" t="s">
        <v>1375</v>
      </c>
      <c r="H789" t="s">
        <v>1388</v>
      </c>
    </row>
    <row r="790" spans="1:9" x14ac:dyDescent="0.25">
      <c r="A790" t="s">
        <v>12</v>
      </c>
      <c r="B790" t="str">
        <f>"88069910      "</f>
        <v xml:space="preserve">88069910      </v>
      </c>
      <c r="C790" t="s">
        <v>1412</v>
      </c>
      <c r="D790" t="s">
        <v>1401</v>
      </c>
      <c r="E790" s="3">
        <v>44562</v>
      </c>
      <c r="G790" t="s">
        <v>1375</v>
      </c>
      <c r="H790" t="s">
        <v>1388</v>
      </c>
    </row>
    <row r="791" spans="1:9" x14ac:dyDescent="0.25">
      <c r="A791" t="s">
        <v>12</v>
      </c>
      <c r="B791" t="str">
        <f>"88069920      "</f>
        <v xml:space="preserve">88069920      </v>
      </c>
      <c r="C791" t="s">
        <v>1413</v>
      </c>
      <c r="D791" t="s">
        <v>1403</v>
      </c>
      <c r="E791" s="3">
        <v>44562</v>
      </c>
      <c r="G791" t="s">
        <v>1375</v>
      </c>
      <c r="H791" t="s">
        <v>1388</v>
      </c>
    </row>
    <row r="792" spans="1:9" x14ac:dyDescent="0.25">
      <c r="A792" t="s">
        <v>12</v>
      </c>
      <c r="B792" t="str">
        <f>"88071000      "</f>
        <v xml:space="preserve">88071000      </v>
      </c>
      <c r="C792" t="s">
        <v>1414</v>
      </c>
      <c r="D792" t="s">
        <v>1376</v>
      </c>
      <c r="E792" s="3">
        <v>44562</v>
      </c>
      <c r="G792" t="s">
        <v>1375</v>
      </c>
      <c r="H792" t="s">
        <v>1415</v>
      </c>
    </row>
    <row r="793" spans="1:9" x14ac:dyDescent="0.25">
      <c r="A793" t="s">
        <v>12</v>
      </c>
      <c r="B793" t="str">
        <f>"88072000      "</f>
        <v xml:space="preserve">88072000      </v>
      </c>
      <c r="C793" t="s">
        <v>1416</v>
      </c>
      <c r="D793" t="s">
        <v>1378</v>
      </c>
      <c r="E793" s="3">
        <v>44562</v>
      </c>
      <c r="G793" t="s">
        <v>1375</v>
      </c>
      <c r="H793" t="s">
        <v>1415</v>
      </c>
    </row>
    <row r="794" spans="1:9" x14ac:dyDescent="0.25">
      <c r="A794" t="s">
        <v>12</v>
      </c>
      <c r="B794" t="str">
        <f>"88073000      "</f>
        <v xml:space="preserve">88073000      </v>
      </c>
      <c r="C794" t="s">
        <v>1417</v>
      </c>
      <c r="D794" t="s">
        <v>1418</v>
      </c>
      <c r="E794" s="3">
        <v>44562</v>
      </c>
      <c r="G794" t="s">
        <v>1375</v>
      </c>
      <c r="H794" t="s">
        <v>1415</v>
      </c>
    </row>
    <row r="795" spans="1:9" x14ac:dyDescent="0.25">
      <c r="A795" t="s">
        <v>12</v>
      </c>
      <c r="B795" t="str">
        <f>"88079010      "</f>
        <v xml:space="preserve">88079010      </v>
      </c>
      <c r="C795" t="s">
        <v>1419</v>
      </c>
      <c r="D795" t="s">
        <v>1420</v>
      </c>
      <c r="E795" s="3">
        <v>44562</v>
      </c>
      <c r="G795" t="s">
        <v>1375</v>
      </c>
      <c r="H795" t="s">
        <v>1415</v>
      </c>
    </row>
    <row r="796" spans="1:9" x14ac:dyDescent="0.25">
      <c r="A796" t="s">
        <v>12</v>
      </c>
      <c r="B796" t="str">
        <f>"88079021      "</f>
        <v xml:space="preserve">88079021      </v>
      </c>
      <c r="C796" t="s">
        <v>1421</v>
      </c>
      <c r="D796" t="s">
        <v>1422</v>
      </c>
      <c r="E796" s="3">
        <v>44562</v>
      </c>
      <c r="G796" t="s">
        <v>1375</v>
      </c>
      <c r="H796" t="s">
        <v>1415</v>
      </c>
    </row>
    <row r="797" spans="1:9" x14ac:dyDescent="0.25">
      <c r="A797" t="s">
        <v>12</v>
      </c>
      <c r="B797" t="str">
        <f>"88079029      "</f>
        <v xml:space="preserve">88079029      </v>
      </c>
      <c r="C797" t="s">
        <v>1423</v>
      </c>
      <c r="D797" t="s">
        <v>1424</v>
      </c>
      <c r="E797" s="3">
        <v>44562</v>
      </c>
      <c r="G797" t="s">
        <v>1375</v>
      </c>
      <c r="H797" t="s">
        <v>1415</v>
      </c>
    </row>
    <row r="798" spans="1:9" x14ac:dyDescent="0.25">
      <c r="A798" t="s">
        <v>12</v>
      </c>
      <c r="B798" t="str">
        <f>"88079030      "</f>
        <v xml:space="preserve">88079030      </v>
      </c>
      <c r="C798" t="s">
        <v>1425</v>
      </c>
      <c r="D798" t="s">
        <v>1426</v>
      </c>
      <c r="E798" s="3">
        <v>44562</v>
      </c>
      <c r="G798" t="s">
        <v>1375</v>
      </c>
      <c r="H798" t="s">
        <v>1415</v>
      </c>
    </row>
    <row r="799" spans="1:9" x14ac:dyDescent="0.25">
      <c r="A799" t="s">
        <v>12</v>
      </c>
      <c r="B799" t="str">
        <f>"88079090      "</f>
        <v xml:space="preserve">88079090      </v>
      </c>
      <c r="C799" t="s">
        <v>1427</v>
      </c>
      <c r="D799" t="s">
        <v>16</v>
      </c>
      <c r="E799" s="3">
        <v>44562</v>
      </c>
      <c r="G799" t="s">
        <v>1375</v>
      </c>
      <c r="H799" t="s">
        <v>1415</v>
      </c>
    </row>
    <row r="800" spans="1:9" x14ac:dyDescent="0.25">
      <c r="A800" t="s">
        <v>2</v>
      </c>
      <c r="B800" t="str">
        <f>"89031010      "</f>
        <v xml:space="preserve">89031010      </v>
      </c>
      <c r="C800" t="s">
        <v>1428</v>
      </c>
      <c r="E800" s="3">
        <v>41122</v>
      </c>
      <c r="F800" s="3">
        <v>44562</v>
      </c>
      <c r="G800" t="s">
        <v>1429</v>
      </c>
      <c r="H800" t="s">
        <v>1430</v>
      </c>
      <c r="I800" t="s">
        <v>1431</v>
      </c>
    </row>
    <row r="801" spans="1:9" x14ac:dyDescent="0.25">
      <c r="A801" t="s">
        <v>2</v>
      </c>
      <c r="B801" t="str">
        <f>"89031090      "</f>
        <v xml:space="preserve">89031090      </v>
      </c>
      <c r="C801" t="s">
        <v>1432</v>
      </c>
      <c r="E801" s="3">
        <v>41122</v>
      </c>
      <c r="F801" s="3">
        <v>44562</v>
      </c>
      <c r="G801" t="s">
        <v>1429</v>
      </c>
      <c r="H801" t="s">
        <v>1430</v>
      </c>
      <c r="I801" t="s">
        <v>1431</v>
      </c>
    </row>
    <row r="802" spans="1:9" x14ac:dyDescent="0.25">
      <c r="A802" t="s">
        <v>12</v>
      </c>
      <c r="B802" t="str">
        <f>"89031100      "</f>
        <v xml:space="preserve">89031100      </v>
      </c>
      <c r="C802" t="s">
        <v>1433</v>
      </c>
      <c r="D802" t="s">
        <v>1434</v>
      </c>
      <c r="E802" s="3">
        <v>44562</v>
      </c>
      <c r="G802" t="s">
        <v>1429</v>
      </c>
      <c r="H802" t="s">
        <v>1430</v>
      </c>
    </row>
    <row r="803" spans="1:9" x14ac:dyDescent="0.25">
      <c r="A803" t="s">
        <v>12</v>
      </c>
      <c r="B803" t="str">
        <f>"89031200      "</f>
        <v xml:space="preserve">89031200      </v>
      </c>
      <c r="C803" t="s">
        <v>1435</v>
      </c>
      <c r="D803" t="s">
        <v>1436</v>
      </c>
      <c r="E803" s="3">
        <v>44562</v>
      </c>
      <c r="G803" t="s">
        <v>1429</v>
      </c>
      <c r="H803" t="s">
        <v>1430</v>
      </c>
    </row>
    <row r="804" spans="1:9" x14ac:dyDescent="0.25">
      <c r="A804" t="s">
        <v>12</v>
      </c>
      <c r="B804" t="str">
        <f>"89031900      "</f>
        <v xml:space="preserve">89031900      </v>
      </c>
      <c r="C804" t="s">
        <v>1437</v>
      </c>
      <c r="D804" t="s">
        <v>1438</v>
      </c>
      <c r="E804" s="3">
        <v>44562</v>
      </c>
      <c r="G804" t="s">
        <v>1429</v>
      </c>
      <c r="H804" t="s">
        <v>1430</v>
      </c>
    </row>
    <row r="805" spans="1:9" x14ac:dyDescent="0.25">
      <c r="A805" t="s">
        <v>12</v>
      </c>
      <c r="B805" t="str">
        <f>"89032100      "</f>
        <v xml:space="preserve">89032100      </v>
      </c>
      <c r="C805" t="s">
        <v>1439</v>
      </c>
      <c r="D805" t="s">
        <v>1440</v>
      </c>
      <c r="E805" s="3">
        <v>44562</v>
      </c>
      <c r="G805" t="s">
        <v>1429</v>
      </c>
      <c r="H805" t="s">
        <v>1430</v>
      </c>
    </row>
    <row r="806" spans="1:9" x14ac:dyDescent="0.25">
      <c r="A806" t="s">
        <v>12</v>
      </c>
      <c r="B806" t="str">
        <f>"89032210      "</f>
        <v xml:space="preserve">89032210      </v>
      </c>
      <c r="C806" t="s">
        <v>1441</v>
      </c>
      <c r="D806" t="s">
        <v>1442</v>
      </c>
      <c r="E806" s="3">
        <v>44562</v>
      </c>
      <c r="G806" t="s">
        <v>1429</v>
      </c>
      <c r="H806" t="s">
        <v>1430</v>
      </c>
    </row>
    <row r="807" spans="1:9" x14ac:dyDescent="0.25">
      <c r="A807" t="s">
        <v>12</v>
      </c>
      <c r="B807" t="str">
        <f>"89032290      "</f>
        <v xml:space="preserve">89032290      </v>
      </c>
      <c r="C807" t="s">
        <v>1443</v>
      </c>
      <c r="D807" t="s">
        <v>16</v>
      </c>
      <c r="E807" s="3">
        <v>44562</v>
      </c>
      <c r="G807" t="s">
        <v>1429</v>
      </c>
      <c r="H807" t="s">
        <v>1430</v>
      </c>
    </row>
    <row r="808" spans="1:9" x14ac:dyDescent="0.25">
      <c r="A808" t="s">
        <v>12</v>
      </c>
      <c r="B808" t="str">
        <f>"89032310      "</f>
        <v xml:space="preserve">89032310      </v>
      </c>
      <c r="C808" t="s">
        <v>1444</v>
      </c>
      <c r="D808" t="s">
        <v>1442</v>
      </c>
      <c r="E808" s="3">
        <v>44562</v>
      </c>
      <c r="G808" t="s">
        <v>1429</v>
      </c>
      <c r="H808" t="s">
        <v>1430</v>
      </c>
    </row>
    <row r="809" spans="1:9" x14ac:dyDescent="0.25">
      <c r="A809" t="s">
        <v>12</v>
      </c>
      <c r="B809" t="str">
        <f>"89032390      "</f>
        <v xml:space="preserve">89032390      </v>
      </c>
      <c r="C809" t="s">
        <v>1445</v>
      </c>
      <c r="D809" t="s">
        <v>16</v>
      </c>
      <c r="E809" s="3">
        <v>44562</v>
      </c>
      <c r="G809" t="s">
        <v>1429</v>
      </c>
      <c r="H809" t="s">
        <v>1430</v>
      </c>
    </row>
    <row r="810" spans="1:9" x14ac:dyDescent="0.25">
      <c r="A810" t="s">
        <v>12</v>
      </c>
      <c r="B810" t="str">
        <f>"89033100      "</f>
        <v xml:space="preserve">89033100      </v>
      </c>
      <c r="C810" t="s">
        <v>1446</v>
      </c>
      <c r="D810" t="s">
        <v>1447</v>
      </c>
      <c r="E810" s="3">
        <v>44562</v>
      </c>
      <c r="G810" t="s">
        <v>1429</v>
      </c>
      <c r="H810" t="s">
        <v>1430</v>
      </c>
    </row>
    <row r="811" spans="1:9" x14ac:dyDescent="0.25">
      <c r="A811" t="s">
        <v>12</v>
      </c>
      <c r="B811" t="str">
        <f>"89033210      "</f>
        <v xml:space="preserve">89033210      </v>
      </c>
      <c r="C811" t="s">
        <v>1448</v>
      </c>
      <c r="D811" t="s">
        <v>1442</v>
      </c>
      <c r="E811" s="3">
        <v>44562</v>
      </c>
      <c r="G811" t="s">
        <v>1429</v>
      </c>
      <c r="H811" t="s">
        <v>1430</v>
      </c>
    </row>
    <row r="812" spans="1:9" x14ac:dyDescent="0.25">
      <c r="A812" t="s">
        <v>12</v>
      </c>
      <c r="B812" t="str">
        <f>"89033290      "</f>
        <v xml:space="preserve">89033290      </v>
      </c>
      <c r="C812" t="s">
        <v>1449</v>
      </c>
      <c r="D812" t="s">
        <v>16</v>
      </c>
      <c r="E812" s="3">
        <v>44562</v>
      </c>
      <c r="G812" t="s">
        <v>1429</v>
      </c>
      <c r="H812" t="s">
        <v>1430</v>
      </c>
    </row>
    <row r="813" spans="1:9" x14ac:dyDescent="0.25">
      <c r="A813" t="s">
        <v>12</v>
      </c>
      <c r="B813" t="str">
        <f>"89033310      "</f>
        <v xml:space="preserve">89033310      </v>
      </c>
      <c r="C813" t="s">
        <v>1450</v>
      </c>
      <c r="D813" t="s">
        <v>1442</v>
      </c>
      <c r="E813" s="3">
        <v>44562</v>
      </c>
      <c r="G813" t="s">
        <v>1429</v>
      </c>
      <c r="H813" t="s">
        <v>1430</v>
      </c>
    </row>
    <row r="814" spans="1:9" x14ac:dyDescent="0.25">
      <c r="A814" t="s">
        <v>12</v>
      </c>
      <c r="B814" t="str">
        <f>"89033390      "</f>
        <v xml:space="preserve">89033390      </v>
      </c>
      <c r="C814" t="s">
        <v>1451</v>
      </c>
      <c r="D814" t="s">
        <v>16</v>
      </c>
      <c r="E814" s="3">
        <v>44562</v>
      </c>
      <c r="G814" t="s">
        <v>1429</v>
      </c>
      <c r="H814" t="s">
        <v>1430</v>
      </c>
    </row>
    <row r="815" spans="1:9" x14ac:dyDescent="0.25">
      <c r="A815" t="s">
        <v>2</v>
      </c>
      <c r="B815" t="str">
        <f>"89039110      "</f>
        <v xml:space="preserve">89039110      </v>
      </c>
      <c r="C815" t="s">
        <v>1452</v>
      </c>
      <c r="E815" s="3">
        <v>41122</v>
      </c>
      <c r="F815" s="3">
        <v>44562</v>
      </c>
      <c r="G815" t="s">
        <v>1429</v>
      </c>
      <c r="H815" t="s">
        <v>1430</v>
      </c>
      <c r="I815" t="s">
        <v>1453</v>
      </c>
    </row>
    <row r="816" spans="1:9" x14ac:dyDescent="0.25">
      <c r="A816" t="s">
        <v>2</v>
      </c>
      <c r="B816" t="str">
        <f>"89039190      "</f>
        <v xml:space="preserve">89039190      </v>
      </c>
      <c r="C816" t="s">
        <v>1454</v>
      </c>
      <c r="E816" s="3">
        <v>41122</v>
      </c>
      <c r="F816" s="3">
        <v>44562</v>
      </c>
      <c r="G816" t="s">
        <v>1429</v>
      </c>
      <c r="H816" t="s">
        <v>1430</v>
      </c>
      <c r="I816" t="s">
        <v>1453</v>
      </c>
    </row>
    <row r="817" spans="1:9" x14ac:dyDescent="0.25">
      <c r="A817" t="s">
        <v>2</v>
      </c>
      <c r="B817" t="str">
        <f>"89039210      "</f>
        <v xml:space="preserve">89039210      </v>
      </c>
      <c r="C817" t="s">
        <v>1455</v>
      </c>
      <c r="E817" s="3">
        <v>41122</v>
      </c>
      <c r="F817" s="3">
        <v>44562</v>
      </c>
      <c r="G817" t="s">
        <v>1429</v>
      </c>
      <c r="H817" t="s">
        <v>1430</v>
      </c>
      <c r="I817" t="s">
        <v>1456</v>
      </c>
    </row>
    <row r="818" spans="1:9" x14ac:dyDescent="0.25">
      <c r="A818" t="s">
        <v>2</v>
      </c>
      <c r="B818" t="str">
        <f>"89039291      "</f>
        <v xml:space="preserve">89039291      </v>
      </c>
      <c r="C818" t="s">
        <v>1457</v>
      </c>
      <c r="E818" s="3">
        <v>41122</v>
      </c>
      <c r="F818" s="3">
        <v>44562</v>
      </c>
      <c r="G818" t="s">
        <v>1429</v>
      </c>
      <c r="H818" t="s">
        <v>1430</v>
      </c>
      <c r="I818" t="s">
        <v>1456</v>
      </c>
    </row>
    <row r="819" spans="1:9" x14ac:dyDescent="0.25">
      <c r="A819" t="s">
        <v>2</v>
      </c>
      <c r="B819" t="str">
        <f>"89039299      "</f>
        <v xml:space="preserve">89039299      </v>
      </c>
      <c r="C819" t="s">
        <v>1458</v>
      </c>
      <c r="E819" s="3">
        <v>41122</v>
      </c>
      <c r="F819" s="3">
        <v>44562</v>
      </c>
      <c r="G819" t="s">
        <v>1429</v>
      </c>
      <c r="H819" t="s">
        <v>1430</v>
      </c>
      <c r="I819" t="s">
        <v>1456</v>
      </c>
    </row>
    <row r="820" spans="1:9" x14ac:dyDescent="0.25">
      <c r="A820" t="s">
        <v>12</v>
      </c>
      <c r="B820" t="str">
        <f>"89039310      "</f>
        <v xml:space="preserve">89039310      </v>
      </c>
      <c r="C820" t="s">
        <v>1459</v>
      </c>
      <c r="D820" t="s">
        <v>1460</v>
      </c>
      <c r="E820" s="3">
        <v>44562</v>
      </c>
      <c r="G820" t="s">
        <v>1429</v>
      </c>
      <c r="H820" t="s">
        <v>1430</v>
      </c>
      <c r="I820" t="s">
        <v>337</v>
      </c>
    </row>
    <row r="821" spans="1:9" x14ac:dyDescent="0.25">
      <c r="A821" t="s">
        <v>12</v>
      </c>
      <c r="B821" t="str">
        <f>"89039390      "</f>
        <v xml:space="preserve">89039390      </v>
      </c>
      <c r="C821" t="s">
        <v>1461</v>
      </c>
      <c r="D821" t="s">
        <v>16</v>
      </c>
      <c r="E821" s="3">
        <v>44562</v>
      </c>
      <c r="G821" t="s">
        <v>1429</v>
      </c>
      <c r="H821" t="s">
        <v>1430</v>
      </c>
      <c r="I821" t="s">
        <v>337</v>
      </c>
    </row>
    <row r="822" spans="1:9" x14ac:dyDescent="0.25">
      <c r="A822" t="s">
        <v>2</v>
      </c>
      <c r="B822" t="str">
        <f>"89039991      "</f>
        <v xml:space="preserve">89039991      </v>
      </c>
      <c r="C822" t="s">
        <v>1462</v>
      </c>
      <c r="E822" s="3">
        <v>41122</v>
      </c>
      <c r="F822" s="3">
        <v>44562</v>
      </c>
      <c r="G822" t="s">
        <v>1429</v>
      </c>
      <c r="H822" t="s">
        <v>1430</v>
      </c>
      <c r="I822" t="s">
        <v>642</v>
      </c>
    </row>
    <row r="823" spans="1:9" x14ac:dyDescent="0.25">
      <c r="A823" t="s">
        <v>2</v>
      </c>
      <c r="B823" t="str">
        <f>"90065100      "</f>
        <v xml:space="preserve">90065100      </v>
      </c>
      <c r="C823" t="s">
        <v>1463</v>
      </c>
      <c r="E823" s="3">
        <v>41122</v>
      </c>
      <c r="F823" s="3">
        <v>44562</v>
      </c>
      <c r="G823" t="s">
        <v>1464</v>
      </c>
      <c r="H823" t="s">
        <v>1465</v>
      </c>
      <c r="I823" t="s">
        <v>1466</v>
      </c>
    </row>
    <row r="824" spans="1:9" x14ac:dyDescent="0.25">
      <c r="A824" t="s">
        <v>2</v>
      </c>
      <c r="B824" t="str">
        <f>"90065200      "</f>
        <v xml:space="preserve">90065200      </v>
      </c>
      <c r="C824" t="s">
        <v>1467</v>
      </c>
      <c r="E824" s="3">
        <v>41122</v>
      </c>
      <c r="F824" s="3">
        <v>44562</v>
      </c>
      <c r="G824" t="s">
        <v>1464</v>
      </c>
      <c r="H824" t="s">
        <v>1465</v>
      </c>
      <c r="I824" t="s">
        <v>1468</v>
      </c>
    </row>
    <row r="825" spans="1:9" x14ac:dyDescent="0.25">
      <c r="A825" t="s">
        <v>12</v>
      </c>
      <c r="B825" t="str">
        <f>"90138000      "</f>
        <v xml:space="preserve">90138000      </v>
      </c>
      <c r="C825" t="s">
        <v>1469</v>
      </c>
      <c r="D825" t="s">
        <v>1470</v>
      </c>
      <c r="E825" s="3">
        <v>44562</v>
      </c>
      <c r="G825" t="s">
        <v>1464</v>
      </c>
      <c r="H825" t="s">
        <v>1471</v>
      </c>
      <c r="I825" t="s">
        <v>1470</v>
      </c>
    </row>
    <row r="826" spans="1:9" x14ac:dyDescent="0.25">
      <c r="A826" t="s">
        <v>2</v>
      </c>
      <c r="B826" t="str">
        <f>"90138020      "</f>
        <v xml:space="preserve">90138020      </v>
      </c>
      <c r="C826" t="s">
        <v>1472</v>
      </c>
      <c r="E826" s="3">
        <v>41122</v>
      </c>
      <c r="F826" s="3">
        <v>44562</v>
      </c>
      <c r="G826" t="s">
        <v>1464</v>
      </c>
      <c r="H826" t="s">
        <v>1471</v>
      </c>
      <c r="I826" t="s">
        <v>1470</v>
      </c>
    </row>
    <row r="827" spans="1:9" x14ac:dyDescent="0.25">
      <c r="A827" t="s">
        <v>2</v>
      </c>
      <c r="B827" t="str">
        <f>"90138030      "</f>
        <v xml:space="preserve">90138030      </v>
      </c>
      <c r="C827" t="s">
        <v>1473</v>
      </c>
      <c r="E827" s="3">
        <v>41122</v>
      </c>
      <c r="F827" s="3">
        <v>44562</v>
      </c>
      <c r="G827" t="s">
        <v>1464</v>
      </c>
      <c r="H827" t="s">
        <v>1471</v>
      </c>
      <c r="I827" t="s">
        <v>1470</v>
      </c>
    </row>
    <row r="828" spans="1:9" x14ac:dyDescent="0.25">
      <c r="A828" t="s">
        <v>2</v>
      </c>
      <c r="B828" t="str">
        <f>"90138090      "</f>
        <v xml:space="preserve">90138090      </v>
      </c>
      <c r="C828" t="s">
        <v>1474</v>
      </c>
      <c r="E828" s="3">
        <v>41122</v>
      </c>
      <c r="F828" s="3">
        <v>44562</v>
      </c>
      <c r="G828" t="s">
        <v>1464</v>
      </c>
      <c r="H828" t="s">
        <v>1471</v>
      </c>
      <c r="I828" t="s">
        <v>1470</v>
      </c>
    </row>
    <row r="829" spans="1:9" x14ac:dyDescent="0.25">
      <c r="A829" t="s">
        <v>2</v>
      </c>
      <c r="B829" t="str">
        <f>"90139010      "</f>
        <v xml:space="preserve">90139010      </v>
      </c>
      <c r="C829" t="s">
        <v>1475</v>
      </c>
      <c r="E829" s="3">
        <v>41122</v>
      </c>
      <c r="F829" s="3">
        <v>44562</v>
      </c>
      <c r="G829" t="s">
        <v>1464</v>
      </c>
      <c r="H829" t="s">
        <v>1471</v>
      </c>
      <c r="I829" t="s">
        <v>1476</v>
      </c>
    </row>
    <row r="830" spans="1:9" x14ac:dyDescent="0.25">
      <c r="A830" t="s">
        <v>2</v>
      </c>
      <c r="B830" t="str">
        <f>"90278005      "</f>
        <v xml:space="preserve">90278005      </v>
      </c>
      <c r="C830" t="s">
        <v>1477</v>
      </c>
      <c r="E830" s="3">
        <v>41122</v>
      </c>
      <c r="F830" s="3">
        <v>44562</v>
      </c>
      <c r="G830" t="s">
        <v>1464</v>
      </c>
      <c r="H830" t="s">
        <v>1478</v>
      </c>
      <c r="I830" t="s">
        <v>1479</v>
      </c>
    </row>
    <row r="831" spans="1:9" x14ac:dyDescent="0.25">
      <c r="A831" t="s">
        <v>2</v>
      </c>
      <c r="B831" t="str">
        <f>"90278020      "</f>
        <v xml:space="preserve">90278020      </v>
      </c>
      <c r="C831" t="s">
        <v>1480</v>
      </c>
      <c r="E831" s="3">
        <v>43831</v>
      </c>
      <c r="F831" s="3">
        <v>44562</v>
      </c>
      <c r="G831" t="s">
        <v>1464</v>
      </c>
      <c r="H831" t="s">
        <v>1478</v>
      </c>
      <c r="I831" t="s">
        <v>1479</v>
      </c>
    </row>
    <row r="832" spans="1:9" x14ac:dyDescent="0.25">
      <c r="A832" t="s">
        <v>2</v>
      </c>
      <c r="B832" t="str">
        <f>"90278080      "</f>
        <v xml:space="preserve">90278080      </v>
      </c>
      <c r="C832" t="s">
        <v>1481</v>
      </c>
      <c r="E832" s="3">
        <v>43831</v>
      </c>
      <c r="F832" s="3">
        <v>44562</v>
      </c>
      <c r="G832" t="s">
        <v>1464</v>
      </c>
      <c r="H832" t="s">
        <v>1478</v>
      </c>
      <c r="I832" t="s">
        <v>1479</v>
      </c>
    </row>
    <row r="833" spans="1:9" x14ac:dyDescent="0.25">
      <c r="A833" t="s">
        <v>12</v>
      </c>
      <c r="B833" t="str">
        <f>"90278100      "</f>
        <v xml:space="preserve">90278100      </v>
      </c>
      <c r="C833" t="s">
        <v>1482</v>
      </c>
      <c r="D833" t="s">
        <v>1483</v>
      </c>
      <c r="E833" s="3">
        <v>44562</v>
      </c>
      <c r="G833" t="s">
        <v>1464</v>
      </c>
      <c r="H833" t="s">
        <v>1478</v>
      </c>
    </row>
    <row r="834" spans="1:9" x14ac:dyDescent="0.25">
      <c r="A834" t="s">
        <v>12</v>
      </c>
      <c r="B834" t="str">
        <f>"90278910      "</f>
        <v xml:space="preserve">90278910      </v>
      </c>
      <c r="C834" t="s">
        <v>1484</v>
      </c>
      <c r="D834" t="s">
        <v>1485</v>
      </c>
      <c r="E834" s="3">
        <v>44562</v>
      </c>
      <c r="G834" t="s">
        <v>1464</v>
      </c>
      <c r="H834" t="s">
        <v>1478</v>
      </c>
    </row>
    <row r="835" spans="1:9" x14ac:dyDescent="0.25">
      <c r="A835" t="s">
        <v>12</v>
      </c>
      <c r="B835" t="str">
        <f>"90278930      "</f>
        <v xml:space="preserve">90278930      </v>
      </c>
      <c r="C835" t="s">
        <v>1486</v>
      </c>
      <c r="D835" t="s">
        <v>1487</v>
      </c>
      <c r="E835" s="3">
        <v>44562</v>
      </c>
      <c r="G835" t="s">
        <v>1464</v>
      </c>
      <c r="H835" t="s">
        <v>1478</v>
      </c>
    </row>
    <row r="836" spans="1:9" x14ac:dyDescent="0.25">
      <c r="A836" t="s">
        <v>12</v>
      </c>
      <c r="B836" t="str">
        <f>"90278990      "</f>
        <v xml:space="preserve">90278990      </v>
      </c>
      <c r="C836" t="s">
        <v>1488</v>
      </c>
      <c r="D836" t="s">
        <v>16</v>
      </c>
      <c r="E836" s="3">
        <v>44562</v>
      </c>
      <c r="G836" t="s">
        <v>1464</v>
      </c>
      <c r="H836" t="s">
        <v>1478</v>
      </c>
    </row>
    <row r="837" spans="1:9" x14ac:dyDescent="0.25">
      <c r="A837" t="s">
        <v>2</v>
      </c>
      <c r="B837" t="str">
        <f>"91141000      "</f>
        <v xml:space="preserve">91141000      </v>
      </c>
      <c r="C837" t="s">
        <v>1489</v>
      </c>
      <c r="E837" s="3">
        <v>41122</v>
      </c>
      <c r="F837" s="3">
        <v>44562</v>
      </c>
      <c r="G837" t="s">
        <v>1490</v>
      </c>
      <c r="H837" t="s">
        <v>1491</v>
      </c>
      <c r="I837" t="s">
        <v>1492</v>
      </c>
    </row>
    <row r="838" spans="1:9" x14ac:dyDescent="0.25">
      <c r="A838" t="s">
        <v>2</v>
      </c>
      <c r="B838" t="str">
        <f>"91149000      "</f>
        <v xml:space="preserve">91149000      </v>
      </c>
      <c r="C838" t="s">
        <v>1493</v>
      </c>
      <c r="E838" s="3">
        <v>41122</v>
      </c>
      <c r="F838" s="3">
        <v>44562</v>
      </c>
      <c r="G838" t="s">
        <v>1490</v>
      </c>
      <c r="H838" t="s">
        <v>1491</v>
      </c>
      <c r="I838" t="s">
        <v>16</v>
      </c>
    </row>
    <row r="839" spans="1:9" x14ac:dyDescent="0.25">
      <c r="A839" t="s">
        <v>12</v>
      </c>
      <c r="B839" t="str">
        <f>"91149010      "</f>
        <v xml:space="preserve">91149010      </v>
      </c>
      <c r="C839" t="s">
        <v>1494</v>
      </c>
      <c r="D839" t="s">
        <v>1495</v>
      </c>
      <c r="E839" s="3">
        <v>44562</v>
      </c>
      <c r="G839" t="s">
        <v>1490</v>
      </c>
      <c r="H839" t="s">
        <v>1491</v>
      </c>
      <c r="I839" t="s">
        <v>16</v>
      </c>
    </row>
    <row r="840" spans="1:9" x14ac:dyDescent="0.25">
      <c r="A840" t="s">
        <v>12</v>
      </c>
      <c r="B840" t="str">
        <f>"91149090      "</f>
        <v xml:space="preserve">91149090      </v>
      </c>
      <c r="C840" t="s">
        <v>1496</v>
      </c>
      <c r="D840" t="s">
        <v>16</v>
      </c>
      <c r="E840" s="3">
        <v>44562</v>
      </c>
      <c r="G840" t="s">
        <v>1490</v>
      </c>
      <c r="H840" t="s">
        <v>1491</v>
      </c>
      <c r="I840" t="s">
        <v>16</v>
      </c>
    </row>
    <row r="841" spans="1:9" x14ac:dyDescent="0.25">
      <c r="A841" t="s">
        <v>2</v>
      </c>
      <c r="B841" t="str">
        <f>"94013000      "</f>
        <v xml:space="preserve">94013000      </v>
      </c>
      <c r="C841" t="s">
        <v>1497</v>
      </c>
      <c r="E841" s="3">
        <v>41122</v>
      </c>
      <c r="F841" s="3">
        <v>44562</v>
      </c>
      <c r="G841" t="s">
        <v>1498</v>
      </c>
      <c r="H841" t="s">
        <v>1499</v>
      </c>
      <c r="I841" t="s">
        <v>1500</v>
      </c>
    </row>
    <row r="842" spans="1:9" x14ac:dyDescent="0.25">
      <c r="A842" t="s">
        <v>12</v>
      </c>
      <c r="B842" t="str">
        <f>"94013100      "</f>
        <v xml:space="preserve">94013100      </v>
      </c>
      <c r="C842" t="s">
        <v>1501</v>
      </c>
      <c r="D842" t="s">
        <v>1502</v>
      </c>
      <c r="E842" s="3">
        <v>44562</v>
      </c>
      <c r="G842" t="s">
        <v>1498</v>
      </c>
      <c r="H842" t="s">
        <v>1499</v>
      </c>
    </row>
    <row r="843" spans="1:9" x14ac:dyDescent="0.25">
      <c r="A843" t="s">
        <v>12</v>
      </c>
      <c r="B843" t="str">
        <f>"94013900      "</f>
        <v xml:space="preserve">94013900      </v>
      </c>
      <c r="C843" t="s">
        <v>1503</v>
      </c>
      <c r="D843" t="s">
        <v>1504</v>
      </c>
      <c r="E843" s="3">
        <v>44562</v>
      </c>
      <c r="G843" t="s">
        <v>1498</v>
      </c>
      <c r="H843" t="s">
        <v>1499</v>
      </c>
    </row>
    <row r="844" spans="1:9" x14ac:dyDescent="0.25">
      <c r="A844" t="s">
        <v>2</v>
      </c>
      <c r="B844" t="str">
        <f>"94014000      "</f>
        <v xml:space="preserve">94014000      </v>
      </c>
      <c r="C844" t="s">
        <v>1505</v>
      </c>
      <c r="E844" s="3">
        <v>41122</v>
      </c>
      <c r="F844" s="3">
        <v>44562</v>
      </c>
      <c r="G844" t="s">
        <v>1498</v>
      </c>
      <c r="H844" t="s">
        <v>1499</v>
      </c>
      <c r="I844" t="s">
        <v>1506</v>
      </c>
    </row>
    <row r="845" spans="1:9" x14ac:dyDescent="0.25">
      <c r="A845" t="s">
        <v>12</v>
      </c>
      <c r="B845" t="str">
        <f>"94014100      "</f>
        <v xml:space="preserve">94014100      </v>
      </c>
      <c r="C845" t="s">
        <v>1507</v>
      </c>
      <c r="D845" t="s">
        <v>1508</v>
      </c>
      <c r="E845" s="3">
        <v>44562</v>
      </c>
      <c r="G845" t="s">
        <v>1498</v>
      </c>
      <c r="H845" t="s">
        <v>1499</v>
      </c>
    </row>
    <row r="846" spans="1:9" x14ac:dyDescent="0.25">
      <c r="A846" t="s">
        <v>12</v>
      </c>
      <c r="B846" t="str">
        <f>"94014900      "</f>
        <v xml:space="preserve">94014900      </v>
      </c>
      <c r="C846" t="s">
        <v>1509</v>
      </c>
      <c r="D846" t="s">
        <v>1510</v>
      </c>
      <c r="E846" s="3">
        <v>44562</v>
      </c>
      <c r="G846" t="s">
        <v>1498</v>
      </c>
      <c r="H846" t="s">
        <v>1499</v>
      </c>
    </row>
    <row r="847" spans="1:9" x14ac:dyDescent="0.25">
      <c r="A847" t="s">
        <v>2</v>
      </c>
      <c r="B847" t="str">
        <f>"94019010      "</f>
        <v xml:space="preserve">94019010      </v>
      </c>
      <c r="C847" t="s">
        <v>1511</v>
      </c>
      <c r="E847" s="3">
        <v>41122</v>
      </c>
      <c r="F847" s="3">
        <v>44562</v>
      </c>
      <c r="G847" t="s">
        <v>1498</v>
      </c>
      <c r="H847" t="s">
        <v>1499</v>
      </c>
      <c r="I847" t="s">
        <v>1205</v>
      </c>
    </row>
    <row r="848" spans="1:9" x14ac:dyDescent="0.25">
      <c r="A848" t="s">
        <v>2</v>
      </c>
      <c r="B848" t="str">
        <f>"94019030      "</f>
        <v xml:space="preserve">94019030      </v>
      </c>
      <c r="C848" t="s">
        <v>1512</v>
      </c>
      <c r="E848" s="3">
        <v>41122</v>
      </c>
      <c r="F848" s="3">
        <v>44562</v>
      </c>
      <c r="G848" t="s">
        <v>1498</v>
      </c>
      <c r="H848" t="s">
        <v>1499</v>
      </c>
      <c r="I848" t="s">
        <v>1205</v>
      </c>
    </row>
    <row r="849" spans="1:9" x14ac:dyDescent="0.25">
      <c r="A849" t="s">
        <v>2</v>
      </c>
      <c r="B849" t="str">
        <f>"94019080      "</f>
        <v xml:space="preserve">94019080      </v>
      </c>
      <c r="C849" t="s">
        <v>1513</v>
      </c>
      <c r="E849" s="3">
        <v>41122</v>
      </c>
      <c r="F849" s="3">
        <v>44562</v>
      </c>
      <c r="G849" t="s">
        <v>1498</v>
      </c>
      <c r="H849" t="s">
        <v>1499</v>
      </c>
      <c r="I849" t="s">
        <v>1205</v>
      </c>
    </row>
    <row r="850" spans="1:9" x14ac:dyDescent="0.25">
      <c r="A850" t="s">
        <v>12</v>
      </c>
      <c r="B850" t="str">
        <f>"94019110      "</f>
        <v xml:space="preserve">94019110      </v>
      </c>
      <c r="C850" t="s">
        <v>1514</v>
      </c>
      <c r="D850" t="s">
        <v>1515</v>
      </c>
      <c r="E850" s="3">
        <v>44562</v>
      </c>
      <c r="G850" t="s">
        <v>1498</v>
      </c>
      <c r="H850" t="s">
        <v>1499</v>
      </c>
    </row>
    <row r="851" spans="1:9" x14ac:dyDescent="0.25">
      <c r="A851" t="s">
        <v>12</v>
      </c>
      <c r="B851" t="str">
        <f>"94019190      "</f>
        <v xml:space="preserve">94019190      </v>
      </c>
      <c r="C851" t="s">
        <v>1516</v>
      </c>
      <c r="D851" t="s">
        <v>16</v>
      </c>
      <c r="E851" s="3">
        <v>44562</v>
      </c>
      <c r="G851" t="s">
        <v>1498</v>
      </c>
      <c r="H851" t="s">
        <v>1499</v>
      </c>
    </row>
    <row r="852" spans="1:9" x14ac:dyDescent="0.25">
      <c r="A852" t="s">
        <v>12</v>
      </c>
      <c r="B852" t="str">
        <f>"94019910      "</f>
        <v xml:space="preserve">94019910      </v>
      </c>
      <c r="C852" t="s">
        <v>1517</v>
      </c>
      <c r="D852" t="s">
        <v>1515</v>
      </c>
      <c r="E852" s="3">
        <v>44562</v>
      </c>
      <c r="G852" t="s">
        <v>1498</v>
      </c>
      <c r="H852" t="s">
        <v>1499</v>
      </c>
    </row>
    <row r="853" spans="1:9" x14ac:dyDescent="0.25">
      <c r="A853" t="s">
        <v>12</v>
      </c>
      <c r="B853" t="str">
        <f>"94019990      "</f>
        <v xml:space="preserve">94019990      </v>
      </c>
      <c r="C853" t="s">
        <v>1518</v>
      </c>
      <c r="D853" t="s">
        <v>16</v>
      </c>
      <c r="E853" s="3">
        <v>44562</v>
      </c>
      <c r="G853" t="s">
        <v>1498</v>
      </c>
      <c r="H853" t="s">
        <v>1499</v>
      </c>
    </row>
    <row r="854" spans="1:9" x14ac:dyDescent="0.25">
      <c r="A854" t="s">
        <v>2</v>
      </c>
      <c r="B854" t="str">
        <f>"94039010      "</f>
        <v xml:space="preserve">94039010      </v>
      </c>
      <c r="C854" t="s">
        <v>1519</v>
      </c>
      <c r="E854" s="3">
        <v>41122</v>
      </c>
      <c r="F854" s="3">
        <v>44562</v>
      </c>
      <c r="G854" t="s">
        <v>1498</v>
      </c>
      <c r="H854" t="s">
        <v>1520</v>
      </c>
      <c r="I854" t="s">
        <v>1205</v>
      </c>
    </row>
    <row r="855" spans="1:9" x14ac:dyDescent="0.25">
      <c r="A855" t="s">
        <v>2</v>
      </c>
      <c r="B855" t="str">
        <f>"94039030      "</f>
        <v xml:space="preserve">94039030      </v>
      </c>
      <c r="C855" t="s">
        <v>1521</v>
      </c>
      <c r="E855" s="3">
        <v>41122</v>
      </c>
      <c r="F855" s="3">
        <v>44562</v>
      </c>
      <c r="G855" t="s">
        <v>1498</v>
      </c>
      <c r="H855" t="s">
        <v>1520</v>
      </c>
      <c r="I855" t="s">
        <v>1205</v>
      </c>
    </row>
    <row r="856" spans="1:9" x14ac:dyDescent="0.25">
      <c r="A856" t="s">
        <v>2</v>
      </c>
      <c r="B856" t="str">
        <f>"94039090      "</f>
        <v xml:space="preserve">94039090      </v>
      </c>
      <c r="C856" t="s">
        <v>1522</v>
      </c>
      <c r="E856" s="3">
        <v>41122</v>
      </c>
      <c r="F856" s="3">
        <v>44562</v>
      </c>
      <c r="G856" t="s">
        <v>1498</v>
      </c>
      <c r="H856" t="s">
        <v>1520</v>
      </c>
      <c r="I856" t="s">
        <v>1205</v>
      </c>
    </row>
    <row r="857" spans="1:9" x14ac:dyDescent="0.25">
      <c r="A857" t="s">
        <v>12</v>
      </c>
      <c r="B857" t="str">
        <f>"94039100      "</f>
        <v xml:space="preserve">94039100      </v>
      </c>
      <c r="C857" t="s">
        <v>1523</v>
      </c>
      <c r="D857" t="s">
        <v>1524</v>
      </c>
      <c r="E857" s="3">
        <v>44562</v>
      </c>
      <c r="G857" t="s">
        <v>1498</v>
      </c>
      <c r="H857" t="s">
        <v>1520</v>
      </c>
    </row>
    <row r="858" spans="1:9" x14ac:dyDescent="0.25">
      <c r="A858" t="s">
        <v>12</v>
      </c>
      <c r="B858" t="str">
        <f>"94039910      "</f>
        <v xml:space="preserve">94039910      </v>
      </c>
      <c r="C858" t="s">
        <v>1525</v>
      </c>
      <c r="D858" t="s">
        <v>1526</v>
      </c>
      <c r="E858" s="3">
        <v>44562</v>
      </c>
      <c r="G858" t="s">
        <v>1498</v>
      </c>
      <c r="H858" t="s">
        <v>1520</v>
      </c>
    </row>
    <row r="859" spans="1:9" x14ac:dyDescent="0.25">
      <c r="A859" t="s">
        <v>12</v>
      </c>
      <c r="B859" t="str">
        <f>"94039990      "</f>
        <v xml:space="preserve">94039990      </v>
      </c>
      <c r="C859" t="s">
        <v>1527</v>
      </c>
      <c r="D859" t="s">
        <v>1528</v>
      </c>
      <c r="E859" s="3">
        <v>44562</v>
      </c>
      <c r="G859" t="s">
        <v>1498</v>
      </c>
      <c r="H859" t="s">
        <v>1520</v>
      </c>
    </row>
    <row r="860" spans="1:9" x14ac:dyDescent="0.25">
      <c r="A860" t="s">
        <v>12</v>
      </c>
      <c r="B860" t="str">
        <f>"94044010      "</f>
        <v xml:space="preserve">94044010      </v>
      </c>
      <c r="C860" t="s">
        <v>1529</v>
      </c>
      <c r="D860" t="s">
        <v>1530</v>
      </c>
      <c r="E860" s="3">
        <v>44562</v>
      </c>
      <c r="G860" t="s">
        <v>1498</v>
      </c>
      <c r="H860" t="s">
        <v>1531</v>
      </c>
    </row>
    <row r="861" spans="1:9" x14ac:dyDescent="0.25">
      <c r="A861" t="s">
        <v>12</v>
      </c>
      <c r="B861" t="str">
        <f>"94044090      "</f>
        <v xml:space="preserve">94044090      </v>
      </c>
      <c r="C861" t="s">
        <v>1532</v>
      </c>
      <c r="D861" t="s">
        <v>16</v>
      </c>
      <c r="E861" s="3">
        <v>44562</v>
      </c>
      <c r="G861" t="s">
        <v>1498</v>
      </c>
      <c r="H861" t="s">
        <v>1531</v>
      </c>
    </row>
    <row r="862" spans="1:9" x14ac:dyDescent="0.25">
      <c r="A862" t="s">
        <v>2</v>
      </c>
      <c r="B862" t="str">
        <f>"94051021      "</f>
        <v xml:space="preserve">94051021      </v>
      </c>
      <c r="C862" t="s">
        <v>1533</v>
      </c>
      <c r="E862" s="3">
        <v>41122</v>
      </c>
      <c r="F862" s="3">
        <v>44562</v>
      </c>
      <c r="G862" t="s">
        <v>1498</v>
      </c>
      <c r="H862" t="s">
        <v>1534</v>
      </c>
      <c r="I862" t="s">
        <v>1535</v>
      </c>
    </row>
    <row r="863" spans="1:9" x14ac:dyDescent="0.25">
      <c r="A863" t="s">
        <v>2</v>
      </c>
      <c r="B863" t="str">
        <f>"94051040      "</f>
        <v xml:space="preserve">94051040      </v>
      </c>
      <c r="C863" t="s">
        <v>1536</v>
      </c>
      <c r="E863" s="3">
        <v>41122</v>
      </c>
      <c r="F863" s="3">
        <v>44562</v>
      </c>
      <c r="G863" t="s">
        <v>1498</v>
      </c>
      <c r="H863" t="s">
        <v>1534</v>
      </c>
      <c r="I863" t="s">
        <v>1535</v>
      </c>
    </row>
    <row r="864" spans="1:9" x14ac:dyDescent="0.25">
      <c r="A864" t="s">
        <v>2</v>
      </c>
      <c r="B864" t="str">
        <f>"94051050      "</f>
        <v xml:space="preserve">94051050      </v>
      </c>
      <c r="C864" t="s">
        <v>1537</v>
      </c>
      <c r="E864" s="3">
        <v>41122</v>
      </c>
      <c r="F864" s="3">
        <v>44562</v>
      </c>
      <c r="G864" t="s">
        <v>1498</v>
      </c>
      <c r="H864" t="s">
        <v>1534</v>
      </c>
      <c r="I864" t="s">
        <v>1535</v>
      </c>
    </row>
    <row r="865" spans="1:9" x14ac:dyDescent="0.25">
      <c r="A865" t="s">
        <v>2</v>
      </c>
      <c r="B865" t="str">
        <f>"94051091      "</f>
        <v xml:space="preserve">94051091      </v>
      </c>
      <c r="C865" t="s">
        <v>1538</v>
      </c>
      <c r="E865" s="3">
        <v>41122</v>
      </c>
      <c r="F865" s="3">
        <v>44562</v>
      </c>
      <c r="G865" t="s">
        <v>1498</v>
      </c>
      <c r="H865" t="s">
        <v>1534</v>
      </c>
      <c r="I865" t="s">
        <v>1535</v>
      </c>
    </row>
    <row r="866" spans="1:9" x14ac:dyDescent="0.25">
      <c r="A866" t="s">
        <v>2</v>
      </c>
      <c r="B866" t="str">
        <f>"94051098      "</f>
        <v xml:space="preserve">94051098      </v>
      </c>
      <c r="C866" t="s">
        <v>1539</v>
      </c>
      <c r="E866" s="3">
        <v>41122</v>
      </c>
      <c r="F866" s="3">
        <v>44562</v>
      </c>
      <c r="G866" t="s">
        <v>1498</v>
      </c>
      <c r="H866" t="s">
        <v>1534</v>
      </c>
      <c r="I866" t="s">
        <v>1535</v>
      </c>
    </row>
    <row r="867" spans="1:9" x14ac:dyDescent="0.25">
      <c r="A867" t="s">
        <v>12</v>
      </c>
      <c r="B867" t="str">
        <f>"94051140      "</f>
        <v xml:space="preserve">94051140      </v>
      </c>
      <c r="C867" t="s">
        <v>1540</v>
      </c>
      <c r="D867" t="s">
        <v>1541</v>
      </c>
      <c r="E867" s="3">
        <v>44562</v>
      </c>
      <c r="G867" t="s">
        <v>1498</v>
      </c>
      <c r="H867" t="s">
        <v>1534</v>
      </c>
    </row>
    <row r="868" spans="1:9" x14ac:dyDescent="0.25">
      <c r="A868" t="s">
        <v>12</v>
      </c>
      <c r="B868" t="str">
        <f>"94051150      "</f>
        <v xml:space="preserve">94051150      </v>
      </c>
      <c r="C868" t="s">
        <v>1542</v>
      </c>
      <c r="D868" t="s">
        <v>1543</v>
      </c>
      <c r="E868" s="3">
        <v>44562</v>
      </c>
      <c r="G868" t="s">
        <v>1498</v>
      </c>
      <c r="H868" t="s">
        <v>1534</v>
      </c>
    </row>
    <row r="869" spans="1:9" x14ac:dyDescent="0.25">
      <c r="A869" t="s">
        <v>12</v>
      </c>
      <c r="B869" t="str">
        <f>"94051190      "</f>
        <v xml:space="preserve">94051190      </v>
      </c>
      <c r="C869" t="s">
        <v>1544</v>
      </c>
      <c r="D869" t="s">
        <v>1528</v>
      </c>
      <c r="E869" s="3">
        <v>44562</v>
      </c>
      <c r="G869" t="s">
        <v>1498</v>
      </c>
      <c r="H869" t="s">
        <v>1534</v>
      </c>
    </row>
    <row r="870" spans="1:9" x14ac:dyDescent="0.25">
      <c r="A870" t="s">
        <v>12</v>
      </c>
      <c r="B870" t="str">
        <f>"94051940      "</f>
        <v xml:space="preserve">94051940      </v>
      </c>
      <c r="C870" t="s">
        <v>1545</v>
      </c>
      <c r="D870" t="s">
        <v>1541</v>
      </c>
      <c r="E870" s="3">
        <v>44562</v>
      </c>
      <c r="G870" t="s">
        <v>1498</v>
      </c>
      <c r="H870" t="s">
        <v>1534</v>
      </c>
    </row>
    <row r="871" spans="1:9" x14ac:dyDescent="0.25">
      <c r="A871" t="s">
        <v>12</v>
      </c>
      <c r="B871" t="str">
        <f>"94051950      "</f>
        <v xml:space="preserve">94051950      </v>
      </c>
      <c r="C871" t="s">
        <v>1546</v>
      </c>
      <c r="D871" t="s">
        <v>1543</v>
      </c>
      <c r="E871" s="3">
        <v>44562</v>
      </c>
      <c r="G871" t="s">
        <v>1498</v>
      </c>
      <c r="H871" t="s">
        <v>1534</v>
      </c>
    </row>
    <row r="872" spans="1:9" x14ac:dyDescent="0.25">
      <c r="A872" t="s">
        <v>12</v>
      </c>
      <c r="B872" t="str">
        <f>"94051990      "</f>
        <v xml:space="preserve">94051990      </v>
      </c>
      <c r="C872" t="s">
        <v>1547</v>
      </c>
      <c r="D872" t="s">
        <v>1528</v>
      </c>
      <c r="E872" s="3">
        <v>44562</v>
      </c>
      <c r="G872" t="s">
        <v>1498</v>
      </c>
      <c r="H872" t="s">
        <v>1534</v>
      </c>
    </row>
    <row r="873" spans="1:9" x14ac:dyDescent="0.25">
      <c r="A873" t="s">
        <v>2</v>
      </c>
      <c r="B873" t="str">
        <f>"94052011      "</f>
        <v xml:space="preserve">94052011      </v>
      </c>
      <c r="C873" t="s">
        <v>1548</v>
      </c>
      <c r="E873" s="3">
        <v>41122</v>
      </c>
      <c r="F873" s="3">
        <v>44562</v>
      </c>
      <c r="G873" t="s">
        <v>1498</v>
      </c>
      <c r="H873" t="s">
        <v>1534</v>
      </c>
      <c r="I873" t="s">
        <v>1549</v>
      </c>
    </row>
    <row r="874" spans="1:9" x14ac:dyDescent="0.25">
      <c r="A874" t="s">
        <v>2</v>
      </c>
      <c r="B874" t="str">
        <f>"94052040      "</f>
        <v xml:space="preserve">94052040      </v>
      </c>
      <c r="C874" t="s">
        <v>1550</v>
      </c>
      <c r="E874" s="3">
        <v>41122</v>
      </c>
      <c r="F874" s="3">
        <v>44562</v>
      </c>
      <c r="G874" t="s">
        <v>1498</v>
      </c>
      <c r="H874" t="s">
        <v>1534</v>
      </c>
      <c r="I874" t="s">
        <v>1549</v>
      </c>
    </row>
    <row r="875" spans="1:9" x14ac:dyDescent="0.25">
      <c r="A875" t="s">
        <v>2</v>
      </c>
      <c r="B875" t="str">
        <f>"94052050      "</f>
        <v xml:space="preserve">94052050      </v>
      </c>
      <c r="C875" t="s">
        <v>1551</v>
      </c>
      <c r="E875" s="3">
        <v>41122</v>
      </c>
      <c r="F875" s="3">
        <v>44562</v>
      </c>
      <c r="G875" t="s">
        <v>1498</v>
      </c>
      <c r="H875" t="s">
        <v>1534</v>
      </c>
      <c r="I875" t="s">
        <v>1549</v>
      </c>
    </row>
    <row r="876" spans="1:9" x14ac:dyDescent="0.25">
      <c r="A876" t="s">
        <v>2</v>
      </c>
      <c r="B876" t="str">
        <f>"94052091      "</f>
        <v xml:space="preserve">94052091      </v>
      </c>
      <c r="C876" t="s">
        <v>1552</v>
      </c>
      <c r="E876" s="3">
        <v>41122</v>
      </c>
      <c r="F876" s="3">
        <v>44562</v>
      </c>
      <c r="G876" t="s">
        <v>1498</v>
      </c>
      <c r="H876" t="s">
        <v>1534</v>
      </c>
      <c r="I876" t="s">
        <v>1549</v>
      </c>
    </row>
    <row r="877" spans="1:9" x14ac:dyDescent="0.25">
      <c r="A877" t="s">
        <v>2</v>
      </c>
      <c r="B877" t="str">
        <f>"94052099      "</f>
        <v xml:space="preserve">94052099      </v>
      </c>
      <c r="C877" t="s">
        <v>1553</v>
      </c>
      <c r="E877" s="3">
        <v>41122</v>
      </c>
      <c r="F877" s="3">
        <v>44562</v>
      </c>
      <c r="G877" t="s">
        <v>1498</v>
      </c>
      <c r="H877" t="s">
        <v>1534</v>
      </c>
      <c r="I877" t="s">
        <v>1549</v>
      </c>
    </row>
    <row r="878" spans="1:9" x14ac:dyDescent="0.25">
      <c r="A878" t="s">
        <v>12</v>
      </c>
      <c r="B878" t="str">
        <f>"94052140      "</f>
        <v xml:space="preserve">94052140      </v>
      </c>
      <c r="C878" t="s">
        <v>1554</v>
      </c>
      <c r="D878" t="s">
        <v>1541</v>
      </c>
      <c r="E878" s="3">
        <v>44562</v>
      </c>
      <c r="G878" t="s">
        <v>1498</v>
      </c>
      <c r="H878" t="s">
        <v>1534</v>
      </c>
    </row>
    <row r="879" spans="1:9" x14ac:dyDescent="0.25">
      <c r="A879" t="s">
        <v>12</v>
      </c>
      <c r="B879" t="str">
        <f>"94052150      "</f>
        <v xml:space="preserve">94052150      </v>
      </c>
      <c r="C879" t="s">
        <v>1555</v>
      </c>
      <c r="D879" t="s">
        <v>1543</v>
      </c>
      <c r="E879" s="3">
        <v>44562</v>
      </c>
      <c r="G879" t="s">
        <v>1498</v>
      </c>
      <c r="H879" t="s">
        <v>1534</v>
      </c>
    </row>
    <row r="880" spans="1:9" x14ac:dyDescent="0.25">
      <c r="A880" t="s">
        <v>12</v>
      </c>
      <c r="B880" t="str">
        <f>"94052190      "</f>
        <v xml:space="preserve">94052190      </v>
      </c>
      <c r="C880" t="s">
        <v>1556</v>
      </c>
      <c r="D880" t="s">
        <v>1528</v>
      </c>
      <c r="E880" s="3">
        <v>44562</v>
      </c>
      <c r="G880" t="s">
        <v>1498</v>
      </c>
      <c r="H880" t="s">
        <v>1534</v>
      </c>
    </row>
    <row r="881" spans="1:9" x14ac:dyDescent="0.25">
      <c r="A881" t="s">
        <v>12</v>
      </c>
      <c r="B881" t="str">
        <f>"94052940      "</f>
        <v xml:space="preserve">94052940      </v>
      </c>
      <c r="C881" t="s">
        <v>1557</v>
      </c>
      <c r="D881" t="s">
        <v>1541</v>
      </c>
      <c r="E881" s="3">
        <v>44562</v>
      </c>
      <c r="G881" t="s">
        <v>1498</v>
      </c>
      <c r="H881" t="s">
        <v>1534</v>
      </c>
    </row>
    <row r="882" spans="1:9" x14ac:dyDescent="0.25">
      <c r="A882" t="s">
        <v>12</v>
      </c>
      <c r="B882" t="str">
        <f>"94052950      "</f>
        <v xml:space="preserve">94052950      </v>
      </c>
      <c r="C882" t="s">
        <v>1558</v>
      </c>
      <c r="D882" t="s">
        <v>1543</v>
      </c>
      <c r="E882" s="3">
        <v>44562</v>
      </c>
      <c r="G882" t="s">
        <v>1498</v>
      </c>
      <c r="H882" t="s">
        <v>1534</v>
      </c>
    </row>
    <row r="883" spans="1:9" x14ac:dyDescent="0.25">
      <c r="A883" t="s">
        <v>12</v>
      </c>
      <c r="B883" t="str">
        <f>"94052990      "</f>
        <v xml:space="preserve">94052990      </v>
      </c>
      <c r="C883" t="s">
        <v>1559</v>
      </c>
      <c r="D883" t="s">
        <v>1528</v>
      </c>
      <c r="E883" s="3">
        <v>44562</v>
      </c>
      <c r="G883" t="s">
        <v>1498</v>
      </c>
      <c r="H883" t="s">
        <v>1534</v>
      </c>
    </row>
    <row r="884" spans="1:9" x14ac:dyDescent="0.25">
      <c r="A884" t="s">
        <v>2</v>
      </c>
      <c r="B884" t="str">
        <f>"94053000      "</f>
        <v xml:space="preserve">94053000      </v>
      </c>
      <c r="C884" t="s">
        <v>1560</v>
      </c>
      <c r="E884" s="3">
        <v>41122</v>
      </c>
      <c r="F884" s="3">
        <v>44562</v>
      </c>
      <c r="G884" t="s">
        <v>1498</v>
      </c>
      <c r="H884" t="s">
        <v>1534</v>
      </c>
      <c r="I884" t="s">
        <v>1561</v>
      </c>
    </row>
    <row r="885" spans="1:9" x14ac:dyDescent="0.25">
      <c r="A885" t="s">
        <v>12</v>
      </c>
      <c r="B885" t="str">
        <f>"94053100      "</f>
        <v xml:space="preserve">94053100      </v>
      </c>
      <c r="C885" t="s">
        <v>1562</v>
      </c>
      <c r="D885" t="s">
        <v>1563</v>
      </c>
      <c r="E885" s="3">
        <v>44562</v>
      </c>
      <c r="G885" t="s">
        <v>1498</v>
      </c>
      <c r="H885" t="s">
        <v>1534</v>
      </c>
    </row>
    <row r="886" spans="1:9" x14ac:dyDescent="0.25">
      <c r="A886" t="s">
        <v>12</v>
      </c>
      <c r="B886" t="str">
        <f>"94053900      "</f>
        <v xml:space="preserve">94053900      </v>
      </c>
      <c r="C886" t="s">
        <v>1564</v>
      </c>
      <c r="D886" t="s">
        <v>1565</v>
      </c>
      <c r="E886" s="3">
        <v>44562</v>
      </c>
      <c r="G886" t="s">
        <v>1498</v>
      </c>
      <c r="H886" t="s">
        <v>1534</v>
      </c>
    </row>
    <row r="887" spans="1:9" x14ac:dyDescent="0.25">
      <c r="A887" t="s">
        <v>2</v>
      </c>
      <c r="B887" t="str">
        <f>"94054010      "</f>
        <v xml:space="preserve">94054010      </v>
      </c>
      <c r="C887" t="s">
        <v>1566</v>
      </c>
      <c r="E887" s="3">
        <v>41122</v>
      </c>
      <c r="F887" s="3">
        <v>44562</v>
      </c>
      <c r="G887" t="s">
        <v>1498</v>
      </c>
      <c r="H887" t="s">
        <v>1534</v>
      </c>
      <c r="I887" t="s">
        <v>1567</v>
      </c>
    </row>
    <row r="888" spans="1:9" x14ac:dyDescent="0.25">
      <c r="A888" t="s">
        <v>2</v>
      </c>
      <c r="B888" t="str">
        <f>"94054031      "</f>
        <v xml:space="preserve">94054031      </v>
      </c>
      <c r="C888" t="s">
        <v>1568</v>
      </c>
      <c r="E888" s="3">
        <v>41122</v>
      </c>
      <c r="F888" s="3">
        <v>44562</v>
      </c>
      <c r="G888" t="s">
        <v>1498</v>
      </c>
      <c r="H888" t="s">
        <v>1534</v>
      </c>
      <c r="I888" t="s">
        <v>1567</v>
      </c>
    </row>
    <row r="889" spans="1:9" x14ac:dyDescent="0.25">
      <c r="A889" t="s">
        <v>2</v>
      </c>
      <c r="B889" t="str">
        <f>"94054035      "</f>
        <v xml:space="preserve">94054035      </v>
      </c>
      <c r="C889" t="s">
        <v>1569</v>
      </c>
      <c r="E889" s="3">
        <v>41122</v>
      </c>
      <c r="F889" s="3">
        <v>44562</v>
      </c>
      <c r="G889" t="s">
        <v>1498</v>
      </c>
      <c r="H889" t="s">
        <v>1534</v>
      </c>
      <c r="I889" t="s">
        <v>1567</v>
      </c>
    </row>
    <row r="890" spans="1:9" x14ac:dyDescent="0.25">
      <c r="A890" t="s">
        <v>2</v>
      </c>
      <c r="B890" t="str">
        <f>"94054039      "</f>
        <v xml:space="preserve">94054039      </v>
      </c>
      <c r="C890" t="s">
        <v>1570</v>
      </c>
      <c r="E890" s="3">
        <v>41122</v>
      </c>
      <c r="F890" s="3">
        <v>44562</v>
      </c>
      <c r="G890" t="s">
        <v>1498</v>
      </c>
      <c r="H890" t="s">
        <v>1534</v>
      </c>
      <c r="I890" t="s">
        <v>1567</v>
      </c>
    </row>
    <row r="891" spans="1:9" x14ac:dyDescent="0.25">
      <c r="A891" t="s">
        <v>2</v>
      </c>
      <c r="B891" t="str">
        <f>"94054091      "</f>
        <v xml:space="preserve">94054091      </v>
      </c>
      <c r="C891" t="s">
        <v>1571</v>
      </c>
      <c r="E891" s="3">
        <v>41122</v>
      </c>
      <c r="F891" s="3">
        <v>44562</v>
      </c>
      <c r="G891" t="s">
        <v>1498</v>
      </c>
      <c r="H891" t="s">
        <v>1534</v>
      </c>
      <c r="I891" t="s">
        <v>1567</v>
      </c>
    </row>
    <row r="892" spans="1:9" x14ac:dyDescent="0.25">
      <c r="A892" t="s">
        <v>2</v>
      </c>
      <c r="B892" t="str">
        <f>"94054095      "</f>
        <v xml:space="preserve">94054095      </v>
      </c>
      <c r="C892" t="s">
        <v>1572</v>
      </c>
      <c r="E892" s="3">
        <v>41122</v>
      </c>
      <c r="F892" s="3">
        <v>44562</v>
      </c>
      <c r="G892" t="s">
        <v>1498</v>
      </c>
      <c r="H892" t="s">
        <v>1534</v>
      </c>
      <c r="I892" t="s">
        <v>1567</v>
      </c>
    </row>
    <row r="893" spans="1:9" x14ac:dyDescent="0.25">
      <c r="A893" t="s">
        <v>2</v>
      </c>
      <c r="B893" t="str">
        <f>"94054099      "</f>
        <v xml:space="preserve">94054099      </v>
      </c>
      <c r="C893" t="s">
        <v>1573</v>
      </c>
      <c r="E893" s="3">
        <v>41122</v>
      </c>
      <c r="F893" s="3">
        <v>44562</v>
      </c>
      <c r="G893" t="s">
        <v>1498</v>
      </c>
      <c r="H893" t="s">
        <v>1534</v>
      </c>
      <c r="I893" t="s">
        <v>1567</v>
      </c>
    </row>
    <row r="894" spans="1:9" x14ac:dyDescent="0.25">
      <c r="A894" t="s">
        <v>12</v>
      </c>
      <c r="B894" t="str">
        <f>"94054110      "</f>
        <v xml:space="preserve">94054110      </v>
      </c>
      <c r="C894" t="s">
        <v>1574</v>
      </c>
      <c r="D894" t="s">
        <v>1575</v>
      </c>
      <c r="E894" s="3">
        <v>44562</v>
      </c>
      <c r="G894" t="s">
        <v>1498</v>
      </c>
      <c r="H894" t="s">
        <v>1534</v>
      </c>
    </row>
    <row r="895" spans="1:9" x14ac:dyDescent="0.25">
      <c r="A895" t="s">
        <v>12</v>
      </c>
      <c r="B895" t="str">
        <f>"94054131      "</f>
        <v xml:space="preserve">94054131      </v>
      </c>
      <c r="C895" t="s">
        <v>1576</v>
      </c>
      <c r="D895" t="s">
        <v>1577</v>
      </c>
      <c r="E895" s="3">
        <v>44562</v>
      </c>
      <c r="G895" t="s">
        <v>1498</v>
      </c>
      <c r="H895" t="s">
        <v>1534</v>
      </c>
    </row>
    <row r="896" spans="1:9" x14ac:dyDescent="0.25">
      <c r="A896" t="s">
        <v>12</v>
      </c>
      <c r="B896" t="str">
        <f>"94054139      "</f>
        <v xml:space="preserve">94054139      </v>
      </c>
      <c r="C896" t="s">
        <v>1578</v>
      </c>
      <c r="D896" t="s">
        <v>78</v>
      </c>
      <c r="E896" s="3">
        <v>44562</v>
      </c>
      <c r="G896" t="s">
        <v>1498</v>
      </c>
      <c r="H896" t="s">
        <v>1534</v>
      </c>
    </row>
    <row r="897" spans="1:9" x14ac:dyDescent="0.25">
      <c r="A897" t="s">
        <v>12</v>
      </c>
      <c r="B897" t="str">
        <f>"94054210      "</f>
        <v xml:space="preserve">94054210      </v>
      </c>
      <c r="C897" t="s">
        <v>1579</v>
      </c>
      <c r="D897" t="s">
        <v>1575</v>
      </c>
      <c r="E897" s="3">
        <v>44562</v>
      </c>
      <c r="G897" t="s">
        <v>1498</v>
      </c>
      <c r="H897" t="s">
        <v>1534</v>
      </c>
    </row>
    <row r="898" spans="1:9" x14ac:dyDescent="0.25">
      <c r="A898" t="s">
        <v>12</v>
      </c>
      <c r="B898" t="str">
        <f>"94054231      "</f>
        <v xml:space="preserve">94054231      </v>
      </c>
      <c r="C898" t="s">
        <v>1580</v>
      </c>
      <c r="D898" t="s">
        <v>1577</v>
      </c>
      <c r="E898" s="3">
        <v>44562</v>
      </c>
      <c r="G898" t="s">
        <v>1498</v>
      </c>
      <c r="H898" t="s">
        <v>1534</v>
      </c>
    </row>
    <row r="899" spans="1:9" x14ac:dyDescent="0.25">
      <c r="A899" t="s">
        <v>12</v>
      </c>
      <c r="B899" t="str">
        <f>"94054239      "</f>
        <v xml:space="preserve">94054239      </v>
      </c>
      <c r="C899" t="s">
        <v>1581</v>
      </c>
      <c r="D899" t="s">
        <v>78</v>
      </c>
      <c r="E899" s="3">
        <v>44562</v>
      </c>
      <c r="G899" t="s">
        <v>1498</v>
      </c>
      <c r="H899" t="s">
        <v>1534</v>
      </c>
    </row>
    <row r="900" spans="1:9" x14ac:dyDescent="0.25">
      <c r="A900" t="s">
        <v>12</v>
      </c>
      <c r="B900" t="str">
        <f>"94054910      "</f>
        <v xml:space="preserve">94054910      </v>
      </c>
      <c r="C900" t="s">
        <v>1582</v>
      </c>
      <c r="D900" t="s">
        <v>1575</v>
      </c>
      <c r="E900" s="3">
        <v>44562</v>
      </c>
      <c r="G900" t="s">
        <v>1498</v>
      </c>
      <c r="H900" t="s">
        <v>1534</v>
      </c>
    </row>
    <row r="901" spans="1:9" x14ac:dyDescent="0.25">
      <c r="A901" t="s">
        <v>12</v>
      </c>
      <c r="B901" t="str">
        <f>"94054940      "</f>
        <v xml:space="preserve">94054940      </v>
      </c>
      <c r="C901" t="s">
        <v>1583</v>
      </c>
      <c r="D901" t="s">
        <v>1577</v>
      </c>
      <c r="E901" s="3">
        <v>44562</v>
      </c>
      <c r="G901" t="s">
        <v>1498</v>
      </c>
      <c r="H901" t="s">
        <v>1534</v>
      </c>
    </row>
    <row r="902" spans="1:9" x14ac:dyDescent="0.25">
      <c r="A902" t="s">
        <v>12</v>
      </c>
      <c r="B902" t="str">
        <f>"94054990      "</f>
        <v xml:space="preserve">94054990      </v>
      </c>
      <c r="C902" t="s">
        <v>1584</v>
      </c>
      <c r="D902" t="s">
        <v>1585</v>
      </c>
      <c r="E902" s="3">
        <v>44562</v>
      </c>
      <c r="G902" t="s">
        <v>1498</v>
      </c>
      <c r="H902" t="s">
        <v>1534</v>
      </c>
    </row>
    <row r="903" spans="1:9" x14ac:dyDescent="0.25">
      <c r="A903" t="s">
        <v>2</v>
      </c>
      <c r="B903" t="str">
        <f>"94056020      "</f>
        <v xml:space="preserve">94056020      </v>
      </c>
      <c r="C903" t="s">
        <v>1586</v>
      </c>
      <c r="E903" s="3">
        <v>41122</v>
      </c>
      <c r="F903" s="3">
        <v>44562</v>
      </c>
      <c r="G903" t="s">
        <v>1498</v>
      </c>
      <c r="H903" t="s">
        <v>1534</v>
      </c>
      <c r="I903" t="s">
        <v>1587</v>
      </c>
    </row>
    <row r="904" spans="1:9" x14ac:dyDescent="0.25">
      <c r="A904" t="s">
        <v>2</v>
      </c>
      <c r="B904" t="str">
        <f>"94056080      "</f>
        <v xml:space="preserve">94056080      </v>
      </c>
      <c r="C904" t="s">
        <v>1588</v>
      </c>
      <c r="E904" s="3">
        <v>41122</v>
      </c>
      <c r="F904" s="3">
        <v>44562</v>
      </c>
      <c r="G904" t="s">
        <v>1498</v>
      </c>
      <c r="H904" t="s">
        <v>1534</v>
      </c>
      <c r="I904" t="s">
        <v>1587</v>
      </c>
    </row>
    <row r="905" spans="1:9" x14ac:dyDescent="0.25">
      <c r="A905" t="s">
        <v>12</v>
      </c>
      <c r="B905" t="str">
        <f>"94056120      "</f>
        <v xml:space="preserve">94056120      </v>
      </c>
      <c r="C905" t="s">
        <v>1589</v>
      </c>
      <c r="D905" t="s">
        <v>1590</v>
      </c>
      <c r="E905" s="3">
        <v>44562</v>
      </c>
      <c r="G905" t="s">
        <v>1498</v>
      </c>
      <c r="H905" t="s">
        <v>1534</v>
      </c>
    </row>
    <row r="906" spans="1:9" x14ac:dyDescent="0.25">
      <c r="A906" t="s">
        <v>12</v>
      </c>
      <c r="B906" t="str">
        <f>"94056180      "</f>
        <v xml:space="preserve">94056180      </v>
      </c>
      <c r="C906" t="s">
        <v>1591</v>
      </c>
      <c r="D906" t="s">
        <v>1528</v>
      </c>
      <c r="E906" s="3">
        <v>44562</v>
      </c>
      <c r="G906" t="s">
        <v>1498</v>
      </c>
      <c r="H906" t="s">
        <v>1534</v>
      </c>
    </row>
    <row r="907" spans="1:9" x14ac:dyDescent="0.25">
      <c r="A907" t="s">
        <v>12</v>
      </c>
      <c r="B907" t="str">
        <f>"94056920      "</f>
        <v xml:space="preserve">94056920      </v>
      </c>
      <c r="C907" t="s">
        <v>1592</v>
      </c>
      <c r="D907" t="s">
        <v>1590</v>
      </c>
      <c r="E907" s="3">
        <v>44562</v>
      </c>
      <c r="G907" t="s">
        <v>1498</v>
      </c>
      <c r="H907" t="s">
        <v>1534</v>
      </c>
    </row>
    <row r="908" spans="1:9" x14ac:dyDescent="0.25">
      <c r="A908" t="s">
        <v>12</v>
      </c>
      <c r="B908" t="str">
        <f>"94056980      "</f>
        <v xml:space="preserve">94056980      </v>
      </c>
      <c r="C908" t="s">
        <v>1593</v>
      </c>
      <c r="D908" t="s">
        <v>1528</v>
      </c>
      <c r="E908" s="3">
        <v>44562</v>
      </c>
      <c r="G908" t="s">
        <v>1498</v>
      </c>
      <c r="H908" t="s">
        <v>1534</v>
      </c>
    </row>
    <row r="909" spans="1:9" x14ac:dyDescent="0.25">
      <c r="A909" t="s">
        <v>12</v>
      </c>
      <c r="B909" t="str">
        <f>"94062000      "</f>
        <v xml:space="preserve">94062000      </v>
      </c>
      <c r="C909" t="s">
        <v>1594</v>
      </c>
      <c r="D909" t="s">
        <v>1595</v>
      </c>
      <c r="E909" s="3">
        <v>44562</v>
      </c>
      <c r="G909" t="s">
        <v>1498</v>
      </c>
      <c r="H909" t="s">
        <v>1596</v>
      </c>
    </row>
    <row r="910" spans="1:9" x14ac:dyDescent="0.25">
      <c r="A910" t="s">
        <v>12</v>
      </c>
      <c r="B910" t="str">
        <f>"95082100      "</f>
        <v xml:space="preserve">95082100      </v>
      </c>
      <c r="C910" t="s">
        <v>1597</v>
      </c>
      <c r="D910" t="s">
        <v>1598</v>
      </c>
      <c r="E910" s="3">
        <v>44562</v>
      </c>
      <c r="G910" t="s">
        <v>1599</v>
      </c>
      <c r="H910" t="s">
        <v>1600</v>
      </c>
    </row>
    <row r="911" spans="1:9" x14ac:dyDescent="0.25">
      <c r="A911" t="s">
        <v>12</v>
      </c>
      <c r="B911" t="str">
        <f>"95082200      "</f>
        <v xml:space="preserve">95082200      </v>
      </c>
      <c r="C911" t="s">
        <v>1601</v>
      </c>
      <c r="D911" t="s">
        <v>1602</v>
      </c>
      <c r="E911" s="3">
        <v>44562</v>
      </c>
      <c r="G911" t="s">
        <v>1599</v>
      </c>
      <c r="H911" t="s">
        <v>1600</v>
      </c>
    </row>
    <row r="912" spans="1:9" x14ac:dyDescent="0.25">
      <c r="A912" t="s">
        <v>12</v>
      </c>
      <c r="B912" t="str">
        <f>"95082300      "</f>
        <v xml:space="preserve">95082300      </v>
      </c>
      <c r="C912" t="s">
        <v>1603</v>
      </c>
      <c r="D912" t="s">
        <v>1604</v>
      </c>
      <c r="E912" s="3">
        <v>44562</v>
      </c>
      <c r="G912" t="s">
        <v>1599</v>
      </c>
      <c r="H912" t="s">
        <v>1600</v>
      </c>
    </row>
    <row r="913" spans="1:9" x14ac:dyDescent="0.25">
      <c r="A913" t="s">
        <v>12</v>
      </c>
      <c r="B913" t="str">
        <f>"95082400      "</f>
        <v xml:space="preserve">95082400      </v>
      </c>
      <c r="C913" t="s">
        <v>1605</v>
      </c>
      <c r="D913" t="s">
        <v>1606</v>
      </c>
      <c r="E913" s="3">
        <v>44562</v>
      </c>
      <c r="G913" t="s">
        <v>1599</v>
      </c>
      <c r="H913" t="s">
        <v>1600</v>
      </c>
    </row>
    <row r="914" spans="1:9" x14ac:dyDescent="0.25">
      <c r="A914" t="s">
        <v>12</v>
      </c>
      <c r="B914" t="str">
        <f>"95082500      "</f>
        <v xml:space="preserve">95082500      </v>
      </c>
      <c r="C914" t="s">
        <v>1607</v>
      </c>
      <c r="D914" t="s">
        <v>1608</v>
      </c>
      <c r="E914" s="3">
        <v>44562</v>
      </c>
      <c r="G914" t="s">
        <v>1599</v>
      </c>
      <c r="H914" t="s">
        <v>1600</v>
      </c>
    </row>
    <row r="915" spans="1:9" x14ac:dyDescent="0.25">
      <c r="A915" t="s">
        <v>12</v>
      </c>
      <c r="B915" t="str">
        <f>"95082600      "</f>
        <v xml:space="preserve">95082600      </v>
      </c>
      <c r="C915" t="s">
        <v>1609</v>
      </c>
      <c r="D915" t="s">
        <v>1610</v>
      </c>
      <c r="E915" s="3">
        <v>44562</v>
      </c>
      <c r="G915" t="s">
        <v>1599</v>
      </c>
      <c r="H915" t="s">
        <v>1600</v>
      </c>
    </row>
    <row r="916" spans="1:9" x14ac:dyDescent="0.25">
      <c r="A916" t="s">
        <v>12</v>
      </c>
      <c r="B916" t="str">
        <f>"95082900      "</f>
        <v xml:space="preserve">95082900      </v>
      </c>
      <c r="C916" t="s">
        <v>1611</v>
      </c>
      <c r="D916" t="s">
        <v>1612</v>
      </c>
      <c r="E916" s="3">
        <v>44562</v>
      </c>
      <c r="G916" t="s">
        <v>1599</v>
      </c>
      <c r="H916" t="s">
        <v>1600</v>
      </c>
    </row>
    <row r="917" spans="1:9" x14ac:dyDescent="0.25">
      <c r="A917" t="s">
        <v>12</v>
      </c>
      <c r="B917" t="str">
        <f>"95083000      "</f>
        <v xml:space="preserve">95083000      </v>
      </c>
      <c r="C917" t="s">
        <v>1613</v>
      </c>
      <c r="D917" t="s">
        <v>1614</v>
      </c>
      <c r="E917" s="3">
        <v>44562</v>
      </c>
      <c r="G917" t="s">
        <v>1599</v>
      </c>
      <c r="H917" t="s">
        <v>1600</v>
      </c>
    </row>
    <row r="918" spans="1:9" x14ac:dyDescent="0.25">
      <c r="A918" t="s">
        <v>12</v>
      </c>
      <c r="B918" t="str">
        <f>"95084000      "</f>
        <v xml:space="preserve">95084000      </v>
      </c>
      <c r="C918" t="s">
        <v>1615</v>
      </c>
      <c r="D918" t="s">
        <v>1616</v>
      </c>
      <c r="E918" s="3">
        <v>44562</v>
      </c>
      <c r="G918" t="s">
        <v>1599</v>
      </c>
      <c r="H918" t="s">
        <v>1600</v>
      </c>
    </row>
    <row r="919" spans="1:9" x14ac:dyDescent="0.25">
      <c r="A919" t="s">
        <v>2</v>
      </c>
      <c r="B919" t="str">
        <f>"95089000      "</f>
        <v xml:space="preserve">95089000      </v>
      </c>
      <c r="C919" t="s">
        <v>1617</v>
      </c>
      <c r="E919" s="3">
        <v>41122</v>
      </c>
      <c r="F919" s="3">
        <v>44562</v>
      </c>
      <c r="G919" t="s">
        <v>1599</v>
      </c>
      <c r="H919" t="s">
        <v>1600</v>
      </c>
      <c r="I919" t="s">
        <v>16</v>
      </c>
    </row>
    <row r="920" spans="1:9" x14ac:dyDescent="0.25">
      <c r="A920" t="s">
        <v>2</v>
      </c>
      <c r="B920" t="str">
        <f>"97011000      "</f>
        <v xml:space="preserve">97011000      </v>
      </c>
      <c r="C920" t="s">
        <v>1618</v>
      </c>
      <c r="E920" s="3">
        <v>41122</v>
      </c>
      <c r="F920" s="3">
        <v>44562</v>
      </c>
      <c r="G920" t="s">
        <v>1619</v>
      </c>
      <c r="H920" t="s">
        <v>1620</v>
      </c>
      <c r="I920" t="s">
        <v>1621</v>
      </c>
    </row>
    <row r="921" spans="1:9" x14ac:dyDescent="0.25">
      <c r="A921" t="s">
        <v>12</v>
      </c>
      <c r="B921" t="str">
        <f>"97012100      "</f>
        <v xml:space="preserve">97012100      </v>
      </c>
      <c r="C921" t="s">
        <v>1622</v>
      </c>
      <c r="D921" t="s">
        <v>1623</v>
      </c>
      <c r="E921" s="3">
        <v>44562</v>
      </c>
      <c r="G921" t="s">
        <v>1619</v>
      </c>
      <c r="H921" t="s">
        <v>1620</v>
      </c>
    </row>
    <row r="922" spans="1:9" x14ac:dyDescent="0.25">
      <c r="A922" t="s">
        <v>12</v>
      </c>
      <c r="B922" t="str">
        <f>"97012200      "</f>
        <v xml:space="preserve">97012200      </v>
      </c>
      <c r="C922" t="s">
        <v>1624</v>
      </c>
      <c r="D922" t="s">
        <v>1625</v>
      </c>
      <c r="E922" s="3">
        <v>44562</v>
      </c>
      <c r="G922" t="s">
        <v>1619</v>
      </c>
      <c r="H922" t="s">
        <v>1620</v>
      </c>
    </row>
    <row r="923" spans="1:9" x14ac:dyDescent="0.25">
      <c r="A923" t="s">
        <v>12</v>
      </c>
      <c r="B923" t="str">
        <f>"97012900      "</f>
        <v xml:space="preserve">97012900      </v>
      </c>
      <c r="C923" t="s">
        <v>1626</v>
      </c>
      <c r="D923" t="s">
        <v>1627</v>
      </c>
      <c r="E923" s="3">
        <v>44562</v>
      </c>
      <c r="G923" t="s">
        <v>1619</v>
      </c>
      <c r="H923" t="s">
        <v>1620</v>
      </c>
    </row>
    <row r="924" spans="1:9" x14ac:dyDescent="0.25">
      <c r="A924" t="s">
        <v>2</v>
      </c>
      <c r="B924" t="str">
        <f>"97019000      "</f>
        <v xml:space="preserve">97019000      </v>
      </c>
      <c r="C924" t="s">
        <v>1628</v>
      </c>
      <c r="E924" s="3">
        <v>41122</v>
      </c>
      <c r="F924" s="3">
        <v>44562</v>
      </c>
      <c r="G924" t="s">
        <v>1619</v>
      </c>
      <c r="H924" t="s">
        <v>1620</v>
      </c>
      <c r="I924" t="s">
        <v>16</v>
      </c>
    </row>
    <row r="925" spans="1:9" x14ac:dyDescent="0.25">
      <c r="A925" t="s">
        <v>12</v>
      </c>
      <c r="B925" t="str">
        <f>"97019100      "</f>
        <v xml:space="preserve">97019100      </v>
      </c>
      <c r="C925" t="s">
        <v>1629</v>
      </c>
      <c r="D925" t="s">
        <v>1630</v>
      </c>
      <c r="E925" s="3">
        <v>44562</v>
      </c>
      <c r="G925" t="s">
        <v>1619</v>
      </c>
      <c r="H925" t="s">
        <v>1620</v>
      </c>
    </row>
    <row r="926" spans="1:9" x14ac:dyDescent="0.25">
      <c r="A926" t="s">
        <v>12</v>
      </c>
      <c r="B926" t="str">
        <f>"97019200      "</f>
        <v xml:space="preserve">97019200      </v>
      </c>
      <c r="C926" t="s">
        <v>1631</v>
      </c>
      <c r="D926" t="s">
        <v>1632</v>
      </c>
      <c r="E926" s="3">
        <v>44562</v>
      </c>
      <c r="G926" t="s">
        <v>1619</v>
      </c>
      <c r="H926" t="s">
        <v>1620</v>
      </c>
    </row>
    <row r="927" spans="1:9" x14ac:dyDescent="0.25">
      <c r="A927" t="s">
        <v>12</v>
      </c>
      <c r="B927" t="str">
        <f>"97019900      "</f>
        <v xml:space="preserve">97019900      </v>
      </c>
      <c r="C927" t="s">
        <v>1633</v>
      </c>
      <c r="D927" t="s">
        <v>78</v>
      </c>
      <c r="E927" s="3">
        <v>44562</v>
      </c>
      <c r="G927" t="s">
        <v>1619</v>
      </c>
      <c r="H927" t="s">
        <v>1620</v>
      </c>
    </row>
    <row r="928" spans="1:9" x14ac:dyDescent="0.25">
      <c r="A928" t="s">
        <v>2</v>
      </c>
      <c r="B928" t="str">
        <f>"97020000      "</f>
        <v xml:space="preserve">97020000      </v>
      </c>
      <c r="C928" t="s">
        <v>1634</v>
      </c>
      <c r="E928" s="3">
        <v>41122</v>
      </c>
      <c r="F928" s="3">
        <v>44562</v>
      </c>
      <c r="G928" t="s">
        <v>1619</v>
      </c>
      <c r="H928" t="s">
        <v>1635</v>
      </c>
      <c r="I928" t="s">
        <v>1636</v>
      </c>
    </row>
    <row r="929" spans="1:9" x14ac:dyDescent="0.25">
      <c r="A929" t="s">
        <v>12</v>
      </c>
      <c r="B929" t="str">
        <f>"97021000      "</f>
        <v xml:space="preserve">97021000      </v>
      </c>
      <c r="C929" t="s">
        <v>1637</v>
      </c>
      <c r="D929" t="s">
        <v>1638</v>
      </c>
      <c r="E929" s="3">
        <v>44562</v>
      </c>
      <c r="G929" t="s">
        <v>1619</v>
      </c>
      <c r="H929" t="s">
        <v>1635</v>
      </c>
    </row>
    <row r="930" spans="1:9" x14ac:dyDescent="0.25">
      <c r="A930" t="s">
        <v>12</v>
      </c>
      <c r="B930" t="str">
        <f>"97029000      "</f>
        <v xml:space="preserve">97029000      </v>
      </c>
      <c r="C930" t="s">
        <v>1639</v>
      </c>
      <c r="D930" t="s">
        <v>16</v>
      </c>
      <c r="E930" s="3">
        <v>44562</v>
      </c>
      <c r="G930" t="s">
        <v>1619</v>
      </c>
      <c r="H930" t="s">
        <v>1635</v>
      </c>
    </row>
    <row r="931" spans="1:9" x14ac:dyDescent="0.25">
      <c r="A931" t="s">
        <v>2</v>
      </c>
      <c r="B931" t="str">
        <f>"97030000      "</f>
        <v xml:space="preserve">97030000      </v>
      </c>
      <c r="C931" t="s">
        <v>1640</v>
      </c>
      <c r="E931" s="3">
        <v>41122</v>
      </c>
      <c r="F931" s="3">
        <v>44562</v>
      </c>
      <c r="G931" t="s">
        <v>1619</v>
      </c>
      <c r="H931" t="s">
        <v>1641</v>
      </c>
      <c r="I931" t="s">
        <v>1642</v>
      </c>
    </row>
    <row r="932" spans="1:9" x14ac:dyDescent="0.25">
      <c r="A932" t="s">
        <v>12</v>
      </c>
      <c r="B932" t="str">
        <f>"97031000      "</f>
        <v xml:space="preserve">97031000      </v>
      </c>
      <c r="C932" t="s">
        <v>1643</v>
      </c>
      <c r="D932" t="s">
        <v>1638</v>
      </c>
      <c r="E932" s="3">
        <v>44562</v>
      </c>
      <c r="G932" t="s">
        <v>1619</v>
      </c>
      <c r="H932" t="s">
        <v>1641</v>
      </c>
    </row>
    <row r="933" spans="1:9" x14ac:dyDescent="0.25">
      <c r="A933" t="s">
        <v>12</v>
      </c>
      <c r="B933" t="str">
        <f>"97039000      "</f>
        <v xml:space="preserve">97039000      </v>
      </c>
      <c r="C933" t="s">
        <v>1644</v>
      </c>
      <c r="D933" t="s">
        <v>16</v>
      </c>
      <c r="E933" s="3">
        <v>44562</v>
      </c>
      <c r="G933" t="s">
        <v>1619</v>
      </c>
      <c r="H933" t="s">
        <v>1641</v>
      </c>
    </row>
    <row r="934" spans="1:9" x14ac:dyDescent="0.25">
      <c r="A934" t="s">
        <v>2</v>
      </c>
      <c r="B934" t="str">
        <f>"97050000      "</f>
        <v xml:space="preserve">97050000      </v>
      </c>
      <c r="C934" t="s">
        <v>1645</v>
      </c>
      <c r="E934" s="3">
        <v>41122</v>
      </c>
      <c r="F934" s="3">
        <v>44562</v>
      </c>
      <c r="G934" t="s">
        <v>1619</v>
      </c>
      <c r="H934" t="s">
        <v>1646</v>
      </c>
      <c r="I934" t="s">
        <v>1647</v>
      </c>
    </row>
    <row r="935" spans="1:9" x14ac:dyDescent="0.25">
      <c r="A935" t="s">
        <v>12</v>
      </c>
      <c r="B935" t="str">
        <f>"97051000      "</f>
        <v xml:space="preserve">97051000      </v>
      </c>
      <c r="C935" t="s">
        <v>1648</v>
      </c>
      <c r="D935" t="s">
        <v>1649</v>
      </c>
      <c r="E935" s="3">
        <v>44562</v>
      </c>
      <c r="G935" t="s">
        <v>1619</v>
      </c>
      <c r="H935" t="s">
        <v>1646</v>
      </c>
    </row>
    <row r="936" spans="1:9" x14ac:dyDescent="0.25">
      <c r="A936" t="s">
        <v>12</v>
      </c>
      <c r="B936" t="str">
        <f>"97052100      "</f>
        <v xml:space="preserve">97052100      </v>
      </c>
      <c r="C936" t="s">
        <v>1650</v>
      </c>
      <c r="D936" t="s">
        <v>1651</v>
      </c>
      <c r="E936" s="3">
        <v>44562</v>
      </c>
      <c r="G936" t="s">
        <v>1619</v>
      </c>
      <c r="H936" t="s">
        <v>1646</v>
      </c>
    </row>
    <row r="937" spans="1:9" x14ac:dyDescent="0.25">
      <c r="A937" t="s">
        <v>12</v>
      </c>
      <c r="B937" t="str">
        <f>"97052200      "</f>
        <v xml:space="preserve">97052200      </v>
      </c>
      <c r="C937" t="s">
        <v>1652</v>
      </c>
      <c r="D937" t="s">
        <v>1653</v>
      </c>
      <c r="E937" s="3">
        <v>44562</v>
      </c>
      <c r="G937" t="s">
        <v>1619</v>
      </c>
      <c r="H937" t="s">
        <v>1646</v>
      </c>
    </row>
    <row r="938" spans="1:9" x14ac:dyDescent="0.25">
      <c r="A938" t="s">
        <v>12</v>
      </c>
      <c r="B938" t="str">
        <f>"97052900      "</f>
        <v xml:space="preserve">97052900      </v>
      </c>
      <c r="C938" t="s">
        <v>1654</v>
      </c>
      <c r="D938" t="s">
        <v>1655</v>
      </c>
      <c r="E938" s="3">
        <v>44562</v>
      </c>
      <c r="G938" t="s">
        <v>1619</v>
      </c>
      <c r="H938" t="s">
        <v>1646</v>
      </c>
    </row>
    <row r="939" spans="1:9" x14ac:dyDescent="0.25">
      <c r="A939" t="s">
        <v>12</v>
      </c>
      <c r="B939" t="str">
        <f>"97053100      "</f>
        <v xml:space="preserve">97053100      </v>
      </c>
      <c r="C939" t="s">
        <v>1656</v>
      </c>
      <c r="D939" t="s">
        <v>1657</v>
      </c>
      <c r="E939" s="3">
        <v>44562</v>
      </c>
      <c r="G939" t="s">
        <v>1619</v>
      </c>
      <c r="H939" t="s">
        <v>1646</v>
      </c>
    </row>
    <row r="940" spans="1:9" x14ac:dyDescent="0.25">
      <c r="A940" t="s">
        <v>12</v>
      </c>
      <c r="B940" t="str">
        <f>"97053900      "</f>
        <v xml:space="preserve">97053900      </v>
      </c>
      <c r="C940" t="s">
        <v>1658</v>
      </c>
      <c r="D940" t="s">
        <v>1659</v>
      </c>
      <c r="E940" s="3">
        <v>44562</v>
      </c>
      <c r="G940" t="s">
        <v>1619</v>
      </c>
      <c r="H940" t="s">
        <v>1646</v>
      </c>
    </row>
    <row r="941" spans="1:9" x14ac:dyDescent="0.25">
      <c r="A941" t="s">
        <v>2</v>
      </c>
      <c r="B941" t="str">
        <f>"97060000      "</f>
        <v xml:space="preserve">97060000      </v>
      </c>
      <c r="C941" t="s">
        <v>1660</v>
      </c>
      <c r="E941" s="3">
        <v>41122</v>
      </c>
      <c r="F941" s="3">
        <v>44562</v>
      </c>
      <c r="G941" t="s">
        <v>1619</v>
      </c>
      <c r="H941" t="s">
        <v>1661</v>
      </c>
      <c r="I941" t="s">
        <v>1662</v>
      </c>
    </row>
    <row r="942" spans="1:9" x14ac:dyDescent="0.25">
      <c r="A942" t="s">
        <v>12</v>
      </c>
      <c r="B942" t="str">
        <f>"97061000      "</f>
        <v xml:space="preserve">97061000      </v>
      </c>
      <c r="C942" t="s">
        <v>1663</v>
      </c>
      <c r="D942" t="s">
        <v>1664</v>
      </c>
      <c r="E942" s="3">
        <v>44562</v>
      </c>
      <c r="G942" t="s">
        <v>1619</v>
      </c>
      <c r="H942" t="s">
        <v>1661</v>
      </c>
    </row>
    <row r="943" spans="1:9" x14ac:dyDescent="0.25">
      <c r="A943" t="s">
        <v>12</v>
      </c>
      <c r="B943" t="str">
        <f>"97069000      "</f>
        <v xml:space="preserve">97069000      </v>
      </c>
      <c r="C943" t="s">
        <v>1665</v>
      </c>
      <c r="D943" t="s">
        <v>16</v>
      </c>
      <c r="E943" s="3">
        <v>44562</v>
      </c>
      <c r="G943" t="s">
        <v>1619</v>
      </c>
      <c r="H943" t="s">
        <v>1661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 sqref="B1:B65536"/>
    </sheetView>
  </sheetViews>
  <sheetFormatPr defaultRowHeight="15" x14ac:dyDescent="0.25"/>
  <cols>
    <col min="1" max="1" width="17.42578125" bestFit="1" customWidth="1"/>
    <col min="2" max="2" width="23.85546875" style="2" bestFit="1" customWidth="1"/>
  </cols>
  <sheetData>
    <row r="1" spans="1:2" x14ac:dyDescent="0.25">
      <c r="A1" s="1" t="s">
        <v>1675</v>
      </c>
      <c r="B1" s="2" t="s">
        <v>1676</v>
      </c>
    </row>
    <row r="2" spans="1:2" x14ac:dyDescent="0.25">
      <c r="A2" s="1" t="s">
        <v>1677</v>
      </c>
      <c r="B2" s="2">
        <v>1017</v>
      </c>
    </row>
    <row r="3" spans="1:2" x14ac:dyDescent="0.25">
      <c r="A3" s="1" t="s">
        <v>1678</v>
      </c>
      <c r="B3" s="2">
        <v>987</v>
      </c>
    </row>
    <row r="4" spans="1:2" x14ac:dyDescent="0.25">
      <c r="A4" s="1" t="s">
        <v>1679</v>
      </c>
      <c r="B4" s="2">
        <v>1018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3"/>
  <sheetViews>
    <sheetView workbookViewId="0"/>
  </sheetViews>
  <sheetFormatPr defaultRowHeight="15" x14ac:dyDescent="0.25"/>
  <cols>
    <col min="1" max="2" width="14.7109375" customWidth="1"/>
    <col min="3" max="6" width="40.7109375" customWidth="1"/>
  </cols>
  <sheetData>
    <row r="1" spans="1:6" x14ac:dyDescent="0.25">
      <c r="A1" t="s">
        <v>9304</v>
      </c>
      <c r="B1" t="s">
        <v>1667</v>
      </c>
      <c r="C1" t="s">
        <v>9305</v>
      </c>
      <c r="D1" t="s">
        <v>9306</v>
      </c>
      <c r="E1" t="s">
        <v>9307</v>
      </c>
      <c r="F1" t="s">
        <v>9308</v>
      </c>
    </row>
    <row r="2" spans="1:6" x14ac:dyDescent="0.25">
      <c r="A2" t="s">
        <v>1678</v>
      </c>
      <c r="B2" t="str">
        <f>"03023110      "</f>
        <v xml:space="preserve">03023110      </v>
      </c>
      <c r="C2" t="s">
        <v>1680</v>
      </c>
      <c r="D2" t="s">
        <v>1680</v>
      </c>
      <c r="E2" t="s">
        <v>1681</v>
      </c>
      <c r="F2" t="s">
        <v>1682</v>
      </c>
    </row>
    <row r="3" spans="1:6" x14ac:dyDescent="0.25">
      <c r="A3" t="s">
        <v>1678</v>
      </c>
      <c r="B3" t="str">
        <f>"03023190      "</f>
        <v xml:space="preserve">03023190      </v>
      </c>
      <c r="C3" t="s">
        <v>16</v>
      </c>
      <c r="D3" t="s">
        <v>16</v>
      </c>
      <c r="E3" t="s">
        <v>1683</v>
      </c>
      <c r="F3" t="s">
        <v>1684</v>
      </c>
    </row>
    <row r="4" spans="1:6" x14ac:dyDescent="0.25">
      <c r="A4" t="s">
        <v>1678</v>
      </c>
      <c r="B4" t="str">
        <f>"03023210      "</f>
        <v xml:space="preserve">03023210      </v>
      </c>
      <c r="C4" t="s">
        <v>1680</v>
      </c>
      <c r="D4" t="s">
        <v>1680</v>
      </c>
      <c r="E4" t="s">
        <v>1685</v>
      </c>
      <c r="F4" t="s">
        <v>1686</v>
      </c>
    </row>
    <row r="5" spans="1:6" x14ac:dyDescent="0.25">
      <c r="A5" t="s">
        <v>1678</v>
      </c>
      <c r="B5" t="str">
        <f>"03023290      "</f>
        <v xml:space="preserve">03023290      </v>
      </c>
      <c r="C5" t="s">
        <v>16</v>
      </c>
      <c r="D5" t="s">
        <v>16</v>
      </c>
      <c r="E5" t="s">
        <v>1687</v>
      </c>
      <c r="F5" t="s">
        <v>1688</v>
      </c>
    </row>
    <row r="6" spans="1:6" x14ac:dyDescent="0.25">
      <c r="A6" t="s">
        <v>1678</v>
      </c>
      <c r="B6" t="str">
        <f>"03023310      "</f>
        <v xml:space="preserve">03023310      </v>
      </c>
      <c r="C6" t="s">
        <v>1680</v>
      </c>
      <c r="D6" t="s">
        <v>1680</v>
      </c>
      <c r="E6" t="s">
        <v>1689</v>
      </c>
      <c r="F6" t="s">
        <v>1690</v>
      </c>
    </row>
    <row r="7" spans="1:6" x14ac:dyDescent="0.25">
      <c r="A7" t="s">
        <v>1678</v>
      </c>
      <c r="B7" t="str">
        <f>"03023390      "</f>
        <v xml:space="preserve">03023390      </v>
      </c>
      <c r="C7" t="s">
        <v>16</v>
      </c>
      <c r="D7" t="s">
        <v>16</v>
      </c>
      <c r="E7" t="s">
        <v>1691</v>
      </c>
      <c r="F7" t="s">
        <v>1692</v>
      </c>
    </row>
    <row r="8" spans="1:6" x14ac:dyDescent="0.25">
      <c r="A8" t="s">
        <v>1678</v>
      </c>
      <c r="B8" t="str">
        <f>"03023410      "</f>
        <v xml:space="preserve">03023410      </v>
      </c>
      <c r="C8" t="s">
        <v>1680</v>
      </c>
      <c r="D8" t="s">
        <v>1680</v>
      </c>
      <c r="E8" t="s">
        <v>1693</v>
      </c>
      <c r="F8" t="s">
        <v>1694</v>
      </c>
    </row>
    <row r="9" spans="1:6" x14ac:dyDescent="0.25">
      <c r="A9" t="s">
        <v>1678</v>
      </c>
      <c r="B9" t="str">
        <f>"03023490      "</f>
        <v xml:space="preserve">03023490      </v>
      </c>
      <c r="C9" t="s">
        <v>16</v>
      </c>
      <c r="D9" t="s">
        <v>16</v>
      </c>
      <c r="E9" t="s">
        <v>1695</v>
      </c>
      <c r="F9" t="s">
        <v>1696</v>
      </c>
    </row>
    <row r="10" spans="1:6" x14ac:dyDescent="0.25">
      <c r="A10" t="s">
        <v>1678</v>
      </c>
      <c r="B10" t="str">
        <f>"03023511      "</f>
        <v xml:space="preserve">03023511      </v>
      </c>
      <c r="C10" t="s">
        <v>1680</v>
      </c>
      <c r="D10" t="s">
        <v>1680</v>
      </c>
      <c r="E10" t="s">
        <v>1697</v>
      </c>
      <c r="F10" t="s">
        <v>1698</v>
      </c>
    </row>
    <row r="11" spans="1:6" x14ac:dyDescent="0.25">
      <c r="A11" t="s">
        <v>1678</v>
      </c>
      <c r="B11" t="str">
        <f>"03023519      "</f>
        <v xml:space="preserve">03023519      </v>
      </c>
      <c r="C11" t="s">
        <v>16</v>
      </c>
      <c r="D11" t="s">
        <v>16</v>
      </c>
      <c r="E11" t="s">
        <v>1699</v>
      </c>
      <c r="F11" t="s">
        <v>1700</v>
      </c>
    </row>
    <row r="12" spans="1:6" x14ac:dyDescent="0.25">
      <c r="A12" t="s">
        <v>1678</v>
      </c>
      <c r="B12" t="str">
        <f>"03023591      "</f>
        <v xml:space="preserve">03023591      </v>
      </c>
      <c r="C12" t="s">
        <v>1680</v>
      </c>
      <c r="D12" t="s">
        <v>1680</v>
      </c>
      <c r="E12" t="s">
        <v>1701</v>
      </c>
      <c r="F12" t="s">
        <v>1702</v>
      </c>
    </row>
    <row r="13" spans="1:6" x14ac:dyDescent="0.25">
      <c r="A13" t="s">
        <v>1678</v>
      </c>
      <c r="B13" t="str">
        <f>"03023599      "</f>
        <v xml:space="preserve">03023599      </v>
      </c>
      <c r="C13" t="s">
        <v>16</v>
      </c>
      <c r="D13" t="s">
        <v>16</v>
      </c>
      <c r="E13" t="s">
        <v>1703</v>
      </c>
      <c r="F13" t="s">
        <v>1704</v>
      </c>
    </row>
    <row r="14" spans="1:6" x14ac:dyDescent="0.25">
      <c r="A14" t="s">
        <v>1678</v>
      </c>
      <c r="B14" t="str">
        <f>"03023610      "</f>
        <v xml:space="preserve">03023610      </v>
      </c>
      <c r="C14" t="s">
        <v>1680</v>
      </c>
      <c r="D14" t="s">
        <v>1680</v>
      </c>
      <c r="E14" t="s">
        <v>1705</v>
      </c>
      <c r="F14" t="s">
        <v>1706</v>
      </c>
    </row>
    <row r="15" spans="1:6" x14ac:dyDescent="0.25">
      <c r="A15" t="s">
        <v>1678</v>
      </c>
      <c r="B15" t="str">
        <f>"03023690      "</f>
        <v xml:space="preserve">03023690      </v>
      </c>
      <c r="C15" t="s">
        <v>16</v>
      </c>
      <c r="D15" t="s">
        <v>16</v>
      </c>
      <c r="E15" t="s">
        <v>1707</v>
      </c>
      <c r="F15" t="s">
        <v>1708</v>
      </c>
    </row>
    <row r="16" spans="1:6" x14ac:dyDescent="0.25">
      <c r="A16" t="s">
        <v>1678</v>
      </c>
      <c r="B16" t="str">
        <f>"03023920      "</f>
        <v xml:space="preserve">03023920      </v>
      </c>
      <c r="C16" t="s">
        <v>1680</v>
      </c>
      <c r="D16" t="s">
        <v>1680</v>
      </c>
      <c r="E16" t="s">
        <v>1709</v>
      </c>
      <c r="F16" t="s">
        <v>1710</v>
      </c>
    </row>
    <row r="17" spans="1:6" x14ac:dyDescent="0.25">
      <c r="A17" t="s">
        <v>1678</v>
      </c>
      <c r="B17" t="str">
        <f>"03023980      "</f>
        <v xml:space="preserve">03023980      </v>
      </c>
      <c r="C17" t="s">
        <v>16</v>
      </c>
      <c r="D17" t="s">
        <v>16</v>
      </c>
      <c r="E17" t="s">
        <v>1711</v>
      </c>
      <c r="F17" t="s">
        <v>1712</v>
      </c>
    </row>
    <row r="18" spans="1:6" x14ac:dyDescent="0.25">
      <c r="A18" t="s">
        <v>1678</v>
      </c>
      <c r="B18" t="str">
        <f>"03028921      "</f>
        <v xml:space="preserve">03028921      </v>
      </c>
      <c r="C18" t="s">
        <v>1680</v>
      </c>
      <c r="D18" t="s">
        <v>1680</v>
      </c>
      <c r="E18" t="s">
        <v>1713</v>
      </c>
      <c r="F18" t="s">
        <v>1714</v>
      </c>
    </row>
    <row r="19" spans="1:6" x14ac:dyDescent="0.25">
      <c r="A19" t="s">
        <v>1678</v>
      </c>
      <c r="B19" t="str">
        <f>"03028929      "</f>
        <v xml:space="preserve">03028929      </v>
      </c>
      <c r="C19" t="s">
        <v>16</v>
      </c>
      <c r="D19" t="s">
        <v>16</v>
      </c>
      <c r="E19" t="s">
        <v>1715</v>
      </c>
      <c r="F19" t="s">
        <v>1716</v>
      </c>
    </row>
    <row r="20" spans="1:6" x14ac:dyDescent="0.25">
      <c r="A20" t="s">
        <v>1678</v>
      </c>
      <c r="B20" t="str">
        <f>"03034110      "</f>
        <v xml:space="preserve">03034110      </v>
      </c>
      <c r="C20" t="s">
        <v>1680</v>
      </c>
      <c r="D20" t="s">
        <v>1680</v>
      </c>
      <c r="E20" t="s">
        <v>1717</v>
      </c>
      <c r="F20" t="s">
        <v>1718</v>
      </c>
    </row>
    <row r="21" spans="1:6" x14ac:dyDescent="0.25">
      <c r="A21" t="s">
        <v>1678</v>
      </c>
      <c r="B21" t="str">
        <f>"03034190      "</f>
        <v xml:space="preserve">03034190      </v>
      </c>
      <c r="C21" t="s">
        <v>16</v>
      </c>
      <c r="D21" t="s">
        <v>16</v>
      </c>
      <c r="E21" t="s">
        <v>1719</v>
      </c>
      <c r="F21" t="s">
        <v>1720</v>
      </c>
    </row>
    <row r="22" spans="1:6" x14ac:dyDescent="0.25">
      <c r="A22" t="s">
        <v>1678</v>
      </c>
      <c r="B22" t="str">
        <f>"03034220      "</f>
        <v xml:space="preserve">03034220      </v>
      </c>
      <c r="C22" t="s">
        <v>1680</v>
      </c>
      <c r="D22" t="s">
        <v>1680</v>
      </c>
      <c r="E22" t="s">
        <v>1721</v>
      </c>
      <c r="F22" t="s">
        <v>1722</v>
      </c>
    </row>
    <row r="23" spans="1:6" x14ac:dyDescent="0.25">
      <c r="A23" t="s">
        <v>1678</v>
      </c>
      <c r="B23" t="str">
        <f>"03034290      "</f>
        <v xml:space="preserve">03034290      </v>
      </c>
      <c r="C23" t="s">
        <v>16</v>
      </c>
      <c r="D23" t="s">
        <v>16</v>
      </c>
      <c r="E23" t="s">
        <v>1723</v>
      </c>
      <c r="F23" t="s">
        <v>1724</v>
      </c>
    </row>
    <row r="24" spans="1:6" x14ac:dyDescent="0.25">
      <c r="A24" t="s">
        <v>1678</v>
      </c>
      <c r="B24" t="str">
        <f>"03034310      "</f>
        <v xml:space="preserve">03034310      </v>
      </c>
      <c r="C24" t="s">
        <v>1680</v>
      </c>
      <c r="D24" t="s">
        <v>1680</v>
      </c>
      <c r="E24" t="s">
        <v>1725</v>
      </c>
      <c r="F24" t="s">
        <v>1726</v>
      </c>
    </row>
    <row r="25" spans="1:6" x14ac:dyDescent="0.25">
      <c r="A25" t="s">
        <v>1678</v>
      </c>
      <c r="B25" t="str">
        <f>"03034390      "</f>
        <v xml:space="preserve">03034390      </v>
      </c>
      <c r="C25" t="s">
        <v>16</v>
      </c>
      <c r="D25" t="s">
        <v>16</v>
      </c>
      <c r="E25" t="s">
        <v>1727</v>
      </c>
      <c r="F25" t="s">
        <v>1728</v>
      </c>
    </row>
    <row r="26" spans="1:6" x14ac:dyDescent="0.25">
      <c r="A26" t="s">
        <v>1678</v>
      </c>
      <c r="B26" t="str">
        <f>"03034410      "</f>
        <v xml:space="preserve">03034410      </v>
      </c>
      <c r="C26" t="s">
        <v>1680</v>
      </c>
      <c r="D26" t="s">
        <v>1680</v>
      </c>
      <c r="E26" t="s">
        <v>1729</v>
      </c>
      <c r="F26" t="s">
        <v>1730</v>
      </c>
    </row>
    <row r="27" spans="1:6" x14ac:dyDescent="0.25">
      <c r="A27" t="s">
        <v>1678</v>
      </c>
      <c r="B27" t="str">
        <f>"03034490      "</f>
        <v xml:space="preserve">03034490      </v>
      </c>
      <c r="C27" t="s">
        <v>16</v>
      </c>
      <c r="D27" t="s">
        <v>16</v>
      </c>
      <c r="E27" t="s">
        <v>1731</v>
      </c>
      <c r="F27" t="s">
        <v>1732</v>
      </c>
    </row>
    <row r="28" spans="1:6" x14ac:dyDescent="0.25">
      <c r="A28" t="s">
        <v>1678</v>
      </c>
      <c r="B28" t="str">
        <f>"03034512      "</f>
        <v xml:space="preserve">03034512      </v>
      </c>
      <c r="C28" t="s">
        <v>1680</v>
      </c>
      <c r="D28" t="s">
        <v>1680</v>
      </c>
      <c r="E28" t="s">
        <v>1733</v>
      </c>
      <c r="F28" t="s">
        <v>1734</v>
      </c>
    </row>
    <row r="29" spans="1:6" x14ac:dyDescent="0.25">
      <c r="A29" t="s">
        <v>1678</v>
      </c>
      <c r="B29" t="str">
        <f>"03034518      "</f>
        <v xml:space="preserve">03034518      </v>
      </c>
      <c r="C29" t="s">
        <v>16</v>
      </c>
      <c r="D29" t="s">
        <v>16</v>
      </c>
      <c r="E29" t="s">
        <v>1735</v>
      </c>
      <c r="F29" t="s">
        <v>1736</v>
      </c>
    </row>
    <row r="30" spans="1:6" x14ac:dyDescent="0.25">
      <c r="A30" t="s">
        <v>1678</v>
      </c>
      <c r="B30" t="str">
        <f>"03034591      "</f>
        <v xml:space="preserve">03034591      </v>
      </c>
      <c r="C30" t="s">
        <v>1680</v>
      </c>
      <c r="D30" t="s">
        <v>1680</v>
      </c>
      <c r="E30" t="s">
        <v>1737</v>
      </c>
      <c r="F30" t="s">
        <v>1738</v>
      </c>
    </row>
    <row r="31" spans="1:6" x14ac:dyDescent="0.25">
      <c r="A31" t="s">
        <v>1678</v>
      </c>
      <c r="B31" t="str">
        <f>"03034599      "</f>
        <v xml:space="preserve">03034599      </v>
      </c>
      <c r="C31" t="s">
        <v>16</v>
      </c>
      <c r="D31" t="s">
        <v>16</v>
      </c>
      <c r="E31" t="s">
        <v>1739</v>
      </c>
      <c r="F31" t="s">
        <v>1740</v>
      </c>
    </row>
    <row r="32" spans="1:6" x14ac:dyDescent="0.25">
      <c r="A32" t="s">
        <v>1678</v>
      </c>
      <c r="B32" t="str">
        <f>"03034610      "</f>
        <v xml:space="preserve">03034610      </v>
      </c>
      <c r="C32" t="s">
        <v>1680</v>
      </c>
      <c r="D32" t="s">
        <v>1680</v>
      </c>
      <c r="E32" t="s">
        <v>1741</v>
      </c>
      <c r="F32" t="s">
        <v>1742</v>
      </c>
    </row>
    <row r="33" spans="1:6" x14ac:dyDescent="0.25">
      <c r="A33" t="s">
        <v>1678</v>
      </c>
      <c r="B33" t="str">
        <f>"03034690      "</f>
        <v xml:space="preserve">03034690      </v>
      </c>
      <c r="C33" t="s">
        <v>16</v>
      </c>
      <c r="D33" t="s">
        <v>16</v>
      </c>
      <c r="E33" t="s">
        <v>1743</v>
      </c>
      <c r="F33" t="s">
        <v>1744</v>
      </c>
    </row>
    <row r="34" spans="1:6" x14ac:dyDescent="0.25">
      <c r="A34" t="s">
        <v>1678</v>
      </c>
      <c r="B34" t="str">
        <f>"03034920      "</f>
        <v xml:space="preserve">03034920      </v>
      </c>
      <c r="C34" t="s">
        <v>1745</v>
      </c>
      <c r="D34" t="s">
        <v>1745</v>
      </c>
      <c r="E34" t="s">
        <v>1746</v>
      </c>
      <c r="F34" t="s">
        <v>1747</v>
      </c>
    </row>
    <row r="35" spans="1:6" x14ac:dyDescent="0.25">
      <c r="A35" t="s">
        <v>1678</v>
      </c>
      <c r="B35" t="str">
        <f>"03034985      "</f>
        <v xml:space="preserve">03034985      </v>
      </c>
      <c r="C35" t="s">
        <v>16</v>
      </c>
      <c r="D35" t="s">
        <v>16</v>
      </c>
      <c r="E35" t="s">
        <v>1748</v>
      </c>
      <c r="F35" t="s">
        <v>1749</v>
      </c>
    </row>
    <row r="36" spans="1:6" x14ac:dyDescent="0.25">
      <c r="A36" t="s">
        <v>1678</v>
      </c>
      <c r="B36" t="str">
        <f>"03038921      "</f>
        <v xml:space="preserve">03038921      </v>
      </c>
      <c r="C36" t="s">
        <v>1680</v>
      </c>
      <c r="D36" t="s">
        <v>1680</v>
      </c>
      <c r="E36" t="s">
        <v>1750</v>
      </c>
      <c r="F36" t="s">
        <v>1751</v>
      </c>
    </row>
    <row r="37" spans="1:6" x14ac:dyDescent="0.25">
      <c r="A37" t="s">
        <v>1678</v>
      </c>
      <c r="B37" t="str">
        <f>"03038929      "</f>
        <v xml:space="preserve">03038929      </v>
      </c>
      <c r="C37" t="s">
        <v>16</v>
      </c>
      <c r="D37" t="s">
        <v>16</v>
      </c>
      <c r="E37" t="s">
        <v>1752</v>
      </c>
      <c r="F37" t="s">
        <v>1753</v>
      </c>
    </row>
    <row r="38" spans="1:6" x14ac:dyDescent="0.25">
      <c r="A38" t="s">
        <v>1678</v>
      </c>
      <c r="B38" t="str">
        <f>"03048700      "</f>
        <v xml:space="preserve">03048700      </v>
      </c>
      <c r="C38" t="s">
        <v>1754</v>
      </c>
      <c r="D38" t="s">
        <v>1755</v>
      </c>
      <c r="E38" t="s">
        <v>1756</v>
      </c>
      <c r="F38" t="s">
        <v>1757</v>
      </c>
    </row>
    <row r="39" spans="1:6" x14ac:dyDescent="0.25">
      <c r="A39" t="s">
        <v>1678</v>
      </c>
      <c r="B39" t="str">
        <f>"03048930      "</f>
        <v xml:space="preserve">03048930      </v>
      </c>
      <c r="C39" t="s">
        <v>1758</v>
      </c>
      <c r="D39" t="s">
        <v>1759</v>
      </c>
      <c r="E39" t="s">
        <v>1760</v>
      </c>
      <c r="F39" t="s">
        <v>1761</v>
      </c>
    </row>
    <row r="40" spans="1:6" x14ac:dyDescent="0.25">
      <c r="A40" t="s">
        <v>1678</v>
      </c>
      <c r="B40" t="str">
        <f>"03052000      "</f>
        <v xml:space="preserve">03052000      </v>
      </c>
      <c r="C40" t="s">
        <v>1762</v>
      </c>
      <c r="D40" t="s">
        <v>1762</v>
      </c>
      <c r="E40" t="s">
        <v>1763</v>
      </c>
      <c r="F40" t="s">
        <v>1764</v>
      </c>
    </row>
    <row r="41" spans="1:6" x14ac:dyDescent="0.25">
      <c r="A41" t="s">
        <v>1678</v>
      </c>
      <c r="B41" t="str">
        <f>"03053100      "</f>
        <v xml:space="preserve">03053100      </v>
      </c>
      <c r="C41" t="s">
        <v>1765</v>
      </c>
      <c r="D41" t="s">
        <v>1765</v>
      </c>
      <c r="E41" t="s">
        <v>1766</v>
      </c>
      <c r="F41" t="s">
        <v>1767</v>
      </c>
    </row>
    <row r="42" spans="1:6" x14ac:dyDescent="0.25">
      <c r="A42" t="s">
        <v>1678</v>
      </c>
      <c r="B42" t="str">
        <f>"03053211      "</f>
        <v xml:space="preserve">03053211      </v>
      </c>
      <c r="C42" t="s">
        <v>1768</v>
      </c>
      <c r="D42" t="s">
        <v>1768</v>
      </c>
      <c r="E42" t="s">
        <v>1769</v>
      </c>
      <c r="F42" t="s">
        <v>1770</v>
      </c>
    </row>
    <row r="43" spans="1:6" x14ac:dyDescent="0.25">
      <c r="A43" t="s">
        <v>1678</v>
      </c>
      <c r="B43" t="str">
        <f>"03053219      "</f>
        <v xml:space="preserve">03053219      </v>
      </c>
      <c r="C43" t="s">
        <v>16</v>
      </c>
      <c r="D43" t="s">
        <v>16</v>
      </c>
      <c r="E43" t="s">
        <v>1771</v>
      </c>
      <c r="F43" t="s">
        <v>1772</v>
      </c>
    </row>
    <row r="44" spans="1:6" x14ac:dyDescent="0.25">
      <c r="A44" t="s">
        <v>1678</v>
      </c>
      <c r="B44" t="str">
        <f>"03053290      "</f>
        <v xml:space="preserve">03053290      </v>
      </c>
      <c r="C44" t="s">
        <v>16</v>
      </c>
      <c r="D44" t="s">
        <v>16</v>
      </c>
      <c r="E44" t="s">
        <v>1773</v>
      </c>
      <c r="F44" t="s">
        <v>1774</v>
      </c>
    </row>
    <row r="45" spans="1:6" x14ac:dyDescent="0.25">
      <c r="A45" t="s">
        <v>1678</v>
      </c>
      <c r="B45" t="str">
        <f>"03053910      "</f>
        <v xml:space="preserve">03053910      </v>
      </c>
      <c r="C45" t="s">
        <v>1775</v>
      </c>
      <c r="D45" t="s">
        <v>1775</v>
      </c>
      <c r="E45" t="s">
        <v>1776</v>
      </c>
      <c r="F45" t="s">
        <v>1777</v>
      </c>
    </row>
    <row r="46" spans="1:6" x14ac:dyDescent="0.25">
      <c r="A46" t="s">
        <v>1678</v>
      </c>
      <c r="B46" t="str">
        <f>"03053950      "</f>
        <v xml:space="preserve">03053950      </v>
      </c>
      <c r="C46" t="s">
        <v>1778</v>
      </c>
      <c r="D46" t="s">
        <v>1778</v>
      </c>
      <c r="E46" t="s">
        <v>1779</v>
      </c>
      <c r="F46" t="s">
        <v>1780</v>
      </c>
    </row>
    <row r="47" spans="1:6" x14ac:dyDescent="0.25">
      <c r="A47" t="s">
        <v>1678</v>
      </c>
      <c r="B47" t="str">
        <f>"03053990      "</f>
        <v xml:space="preserve">03053990      </v>
      </c>
      <c r="C47" t="s">
        <v>16</v>
      </c>
      <c r="D47" t="s">
        <v>16</v>
      </c>
      <c r="E47" t="s">
        <v>1781</v>
      </c>
      <c r="F47" t="s">
        <v>1782</v>
      </c>
    </row>
    <row r="48" spans="1:6" x14ac:dyDescent="0.25">
      <c r="A48" t="s">
        <v>1678</v>
      </c>
      <c r="B48" t="str">
        <f>"03054100      "</f>
        <v xml:space="preserve">03054100      </v>
      </c>
      <c r="C48" t="s">
        <v>1783</v>
      </c>
      <c r="D48" t="s">
        <v>1783</v>
      </c>
      <c r="E48" t="s">
        <v>1784</v>
      </c>
      <c r="F48" t="s">
        <v>1785</v>
      </c>
    </row>
    <row r="49" spans="1:6" x14ac:dyDescent="0.25">
      <c r="A49" t="s">
        <v>1678</v>
      </c>
      <c r="B49" t="str">
        <f>"03054200      "</f>
        <v xml:space="preserve">03054200      </v>
      </c>
      <c r="C49" t="s">
        <v>1786</v>
      </c>
      <c r="D49" t="s">
        <v>1786</v>
      </c>
      <c r="E49" t="s">
        <v>1787</v>
      </c>
      <c r="F49" t="s">
        <v>1788</v>
      </c>
    </row>
    <row r="50" spans="1:6" x14ac:dyDescent="0.25">
      <c r="A50" t="s">
        <v>1678</v>
      </c>
      <c r="B50" t="str">
        <f>"03054300      "</f>
        <v xml:space="preserve">03054300      </v>
      </c>
      <c r="C50" t="s">
        <v>1789</v>
      </c>
      <c r="D50" t="s">
        <v>1789</v>
      </c>
      <c r="E50" t="s">
        <v>1790</v>
      </c>
      <c r="F50" t="s">
        <v>1791</v>
      </c>
    </row>
    <row r="51" spans="1:6" x14ac:dyDescent="0.25">
      <c r="A51" t="s">
        <v>1678</v>
      </c>
      <c r="B51" t="str">
        <f>"03054410      "</f>
        <v xml:space="preserve">03054410      </v>
      </c>
      <c r="C51" t="s">
        <v>1792</v>
      </c>
      <c r="D51" t="s">
        <v>1792</v>
      </c>
      <c r="E51" t="s">
        <v>1793</v>
      </c>
      <c r="F51" t="s">
        <v>1794</v>
      </c>
    </row>
    <row r="52" spans="1:6" x14ac:dyDescent="0.25">
      <c r="A52" t="s">
        <v>1678</v>
      </c>
      <c r="B52" t="str">
        <f>"03054490      "</f>
        <v xml:space="preserve">03054490      </v>
      </c>
      <c r="C52" t="s">
        <v>16</v>
      </c>
      <c r="D52" t="s">
        <v>16</v>
      </c>
      <c r="E52" t="s">
        <v>1795</v>
      </c>
      <c r="F52" t="s">
        <v>1796</v>
      </c>
    </row>
    <row r="53" spans="1:6" x14ac:dyDescent="0.25">
      <c r="A53" t="s">
        <v>1678</v>
      </c>
      <c r="B53" t="str">
        <f>"03054910      "</f>
        <v xml:space="preserve">03054910      </v>
      </c>
      <c r="C53" t="s">
        <v>1797</v>
      </c>
      <c r="D53" t="s">
        <v>1797</v>
      </c>
      <c r="E53" t="s">
        <v>1798</v>
      </c>
      <c r="F53" t="s">
        <v>1799</v>
      </c>
    </row>
    <row r="54" spans="1:6" x14ac:dyDescent="0.25">
      <c r="A54" t="s">
        <v>1678</v>
      </c>
      <c r="B54" t="str">
        <f>"03054920      "</f>
        <v xml:space="preserve">03054920      </v>
      </c>
      <c r="C54" t="s">
        <v>1800</v>
      </c>
      <c r="D54" t="s">
        <v>1800</v>
      </c>
      <c r="E54" t="s">
        <v>1801</v>
      </c>
      <c r="F54" t="s">
        <v>1802</v>
      </c>
    </row>
    <row r="55" spans="1:6" x14ac:dyDescent="0.25">
      <c r="A55" t="s">
        <v>1678</v>
      </c>
      <c r="B55" t="str">
        <f>"03054930      "</f>
        <v xml:space="preserve">03054930      </v>
      </c>
      <c r="C55" t="s">
        <v>1803</v>
      </c>
      <c r="D55" t="s">
        <v>1803</v>
      </c>
      <c r="E55" t="s">
        <v>1804</v>
      </c>
      <c r="F55" t="s">
        <v>1805</v>
      </c>
    </row>
    <row r="56" spans="1:6" x14ac:dyDescent="0.25">
      <c r="A56" t="s">
        <v>1678</v>
      </c>
      <c r="B56" t="str">
        <f>"03054980      "</f>
        <v xml:space="preserve">03054980      </v>
      </c>
      <c r="C56" t="s">
        <v>16</v>
      </c>
      <c r="D56" t="s">
        <v>16</v>
      </c>
      <c r="E56" t="s">
        <v>1806</v>
      </c>
      <c r="F56" t="s">
        <v>1807</v>
      </c>
    </row>
    <row r="57" spans="1:6" x14ac:dyDescent="0.25">
      <c r="A57" t="s">
        <v>1678</v>
      </c>
      <c r="B57" t="str">
        <f>"03055110      "</f>
        <v xml:space="preserve">03055110      </v>
      </c>
      <c r="C57" t="s">
        <v>1808</v>
      </c>
      <c r="D57" t="s">
        <v>1808</v>
      </c>
      <c r="E57" t="s">
        <v>1809</v>
      </c>
      <c r="F57" t="s">
        <v>1810</v>
      </c>
    </row>
    <row r="58" spans="1:6" x14ac:dyDescent="0.25">
      <c r="A58" t="s">
        <v>1678</v>
      </c>
      <c r="B58" t="str">
        <f>"03055190      "</f>
        <v xml:space="preserve">03055190      </v>
      </c>
      <c r="C58" t="s">
        <v>1811</v>
      </c>
      <c r="D58" t="s">
        <v>1811</v>
      </c>
      <c r="E58" t="s">
        <v>1812</v>
      </c>
      <c r="F58" t="s">
        <v>1813</v>
      </c>
    </row>
    <row r="59" spans="1:6" x14ac:dyDescent="0.25">
      <c r="A59" t="s">
        <v>1678</v>
      </c>
      <c r="B59" t="str">
        <f>"03055200      "</f>
        <v xml:space="preserve">03055200      </v>
      </c>
      <c r="C59" t="s">
        <v>1765</v>
      </c>
      <c r="D59" t="s">
        <v>1765</v>
      </c>
      <c r="E59" t="s">
        <v>1814</v>
      </c>
      <c r="F59" t="s">
        <v>1815</v>
      </c>
    </row>
    <row r="60" spans="1:6" x14ac:dyDescent="0.25">
      <c r="A60" t="s">
        <v>1678</v>
      </c>
      <c r="B60" t="str">
        <f>"03055310      "</f>
        <v xml:space="preserve">03055310      </v>
      </c>
      <c r="C60" t="s">
        <v>1816</v>
      </c>
      <c r="D60" t="s">
        <v>1816</v>
      </c>
      <c r="E60" t="s">
        <v>1817</v>
      </c>
      <c r="F60" t="s">
        <v>1818</v>
      </c>
    </row>
    <row r="61" spans="1:6" x14ac:dyDescent="0.25">
      <c r="A61" t="s">
        <v>1678</v>
      </c>
      <c r="B61" t="str">
        <f>"03055390      "</f>
        <v xml:space="preserve">03055390      </v>
      </c>
      <c r="C61" t="s">
        <v>16</v>
      </c>
      <c r="D61" t="s">
        <v>16</v>
      </c>
      <c r="E61" t="s">
        <v>1819</v>
      </c>
      <c r="F61" t="s">
        <v>1820</v>
      </c>
    </row>
    <row r="62" spans="1:6" x14ac:dyDescent="0.25">
      <c r="A62" t="s">
        <v>1678</v>
      </c>
      <c r="B62" t="str">
        <f>"03055430      "</f>
        <v xml:space="preserve">03055430      </v>
      </c>
      <c r="C62" t="s">
        <v>1786</v>
      </c>
      <c r="D62" t="s">
        <v>1786</v>
      </c>
      <c r="E62" t="s">
        <v>1821</v>
      </c>
      <c r="F62" t="s">
        <v>1822</v>
      </c>
    </row>
    <row r="63" spans="1:6" x14ac:dyDescent="0.25">
      <c r="A63" t="s">
        <v>1678</v>
      </c>
      <c r="B63" t="str">
        <f>"03055450      "</f>
        <v xml:space="preserve">03055450      </v>
      </c>
      <c r="C63" t="s">
        <v>1823</v>
      </c>
      <c r="D63" t="s">
        <v>1823</v>
      </c>
      <c r="E63" t="s">
        <v>1824</v>
      </c>
      <c r="F63" t="s">
        <v>1825</v>
      </c>
    </row>
    <row r="64" spans="1:6" x14ac:dyDescent="0.25">
      <c r="A64" t="s">
        <v>1678</v>
      </c>
      <c r="B64" t="str">
        <f>"03055490      "</f>
        <v xml:space="preserve">03055490      </v>
      </c>
      <c r="C64" t="s">
        <v>16</v>
      </c>
      <c r="D64" t="s">
        <v>16</v>
      </c>
      <c r="E64" t="s">
        <v>1826</v>
      </c>
      <c r="F64" t="s">
        <v>1827</v>
      </c>
    </row>
    <row r="65" spans="1:6" x14ac:dyDescent="0.25">
      <c r="A65" t="s">
        <v>1678</v>
      </c>
      <c r="B65" t="str">
        <f>"03055970      "</f>
        <v xml:space="preserve">03055970      </v>
      </c>
      <c r="C65" t="s">
        <v>1800</v>
      </c>
      <c r="D65" t="s">
        <v>1800</v>
      </c>
      <c r="E65" t="s">
        <v>1828</v>
      </c>
      <c r="F65" t="s">
        <v>1829</v>
      </c>
    </row>
    <row r="66" spans="1:6" x14ac:dyDescent="0.25">
      <c r="A66" t="s">
        <v>1678</v>
      </c>
      <c r="B66" t="str">
        <f>"03055985      "</f>
        <v xml:space="preserve">03055985      </v>
      </c>
      <c r="C66" t="s">
        <v>16</v>
      </c>
      <c r="D66" t="s">
        <v>16</v>
      </c>
      <c r="E66" t="s">
        <v>1830</v>
      </c>
      <c r="F66" t="s">
        <v>1831</v>
      </c>
    </row>
    <row r="67" spans="1:6" x14ac:dyDescent="0.25">
      <c r="A67" t="s">
        <v>1678</v>
      </c>
      <c r="B67" t="str">
        <f>"03056100      "</f>
        <v xml:space="preserve">03056100      </v>
      </c>
      <c r="C67" t="s">
        <v>1786</v>
      </c>
      <c r="D67" t="s">
        <v>1786</v>
      </c>
      <c r="E67" t="s">
        <v>1832</v>
      </c>
      <c r="F67" t="s">
        <v>1833</v>
      </c>
    </row>
    <row r="68" spans="1:6" x14ac:dyDescent="0.25">
      <c r="A68" t="s">
        <v>1678</v>
      </c>
      <c r="B68" t="str">
        <f>"03056200      "</f>
        <v xml:space="preserve">03056200      </v>
      </c>
      <c r="C68" t="s">
        <v>1834</v>
      </c>
      <c r="D68" t="s">
        <v>1834</v>
      </c>
      <c r="E68" t="s">
        <v>1835</v>
      </c>
      <c r="F68" t="s">
        <v>1836</v>
      </c>
    </row>
    <row r="69" spans="1:6" x14ac:dyDescent="0.25">
      <c r="A69" t="s">
        <v>1678</v>
      </c>
      <c r="B69" t="str">
        <f>"03056300      "</f>
        <v xml:space="preserve">03056300      </v>
      </c>
      <c r="C69" t="s">
        <v>1823</v>
      </c>
      <c r="D69" t="s">
        <v>1823</v>
      </c>
      <c r="E69" t="s">
        <v>1837</v>
      </c>
      <c r="F69" t="s">
        <v>1838</v>
      </c>
    </row>
    <row r="70" spans="1:6" x14ac:dyDescent="0.25">
      <c r="A70" t="s">
        <v>1678</v>
      </c>
      <c r="B70" t="str">
        <f>"03056400      "</f>
        <v xml:space="preserve">03056400      </v>
      </c>
      <c r="C70" t="s">
        <v>1765</v>
      </c>
      <c r="D70" t="s">
        <v>1765</v>
      </c>
      <c r="E70" t="s">
        <v>1839</v>
      </c>
      <c r="F70" t="s">
        <v>1840</v>
      </c>
    </row>
    <row r="71" spans="1:6" x14ac:dyDescent="0.25">
      <c r="A71" t="s">
        <v>1678</v>
      </c>
      <c r="B71" t="str">
        <f>"03056910      "</f>
        <v xml:space="preserve">03056910      </v>
      </c>
      <c r="C71" t="s">
        <v>1841</v>
      </c>
      <c r="D71" t="s">
        <v>1841</v>
      </c>
      <c r="E71" t="s">
        <v>1842</v>
      </c>
      <c r="F71" t="s">
        <v>1843</v>
      </c>
    </row>
    <row r="72" spans="1:6" x14ac:dyDescent="0.25">
      <c r="A72" t="s">
        <v>1678</v>
      </c>
      <c r="B72" t="str">
        <f>"03056930      "</f>
        <v xml:space="preserve">03056930      </v>
      </c>
      <c r="C72" t="s">
        <v>1800</v>
      </c>
      <c r="D72" t="s">
        <v>1800</v>
      </c>
      <c r="E72" t="s">
        <v>1844</v>
      </c>
      <c r="F72" t="s">
        <v>1845</v>
      </c>
    </row>
    <row r="73" spans="1:6" x14ac:dyDescent="0.25">
      <c r="A73" t="s">
        <v>1678</v>
      </c>
      <c r="B73" t="str">
        <f>"03056950      "</f>
        <v xml:space="preserve">03056950      </v>
      </c>
      <c r="C73" t="s">
        <v>1783</v>
      </c>
      <c r="D73" t="s">
        <v>1783</v>
      </c>
      <c r="E73" t="s">
        <v>1846</v>
      </c>
      <c r="F73" t="s">
        <v>1847</v>
      </c>
    </row>
    <row r="74" spans="1:6" x14ac:dyDescent="0.25">
      <c r="A74" t="s">
        <v>1678</v>
      </c>
      <c r="B74" t="str">
        <f>"03056980      "</f>
        <v xml:space="preserve">03056980      </v>
      </c>
      <c r="C74" t="s">
        <v>16</v>
      </c>
      <c r="D74" t="s">
        <v>16</v>
      </c>
      <c r="E74" t="s">
        <v>1848</v>
      </c>
      <c r="F74" t="s">
        <v>1849</v>
      </c>
    </row>
    <row r="75" spans="1:6" x14ac:dyDescent="0.25">
      <c r="A75" t="s">
        <v>1678</v>
      </c>
      <c r="B75" t="str">
        <f>"03057100      "</f>
        <v xml:space="preserve">03057100      </v>
      </c>
      <c r="C75" t="s">
        <v>1850</v>
      </c>
      <c r="D75" t="s">
        <v>1850</v>
      </c>
      <c r="E75" t="s">
        <v>1851</v>
      </c>
      <c r="F75" t="s">
        <v>1852</v>
      </c>
    </row>
    <row r="76" spans="1:6" x14ac:dyDescent="0.25">
      <c r="A76" t="s">
        <v>1678</v>
      </c>
      <c r="B76" t="str">
        <f>"03057200      "</f>
        <v xml:space="preserve">03057200      </v>
      </c>
      <c r="C76" t="s">
        <v>1853</v>
      </c>
      <c r="D76" t="s">
        <v>1853</v>
      </c>
      <c r="E76" t="s">
        <v>1854</v>
      </c>
      <c r="F76" t="s">
        <v>1855</v>
      </c>
    </row>
    <row r="77" spans="1:6" x14ac:dyDescent="0.25">
      <c r="A77" t="s">
        <v>1678</v>
      </c>
      <c r="B77" t="str">
        <f>"03057900      "</f>
        <v xml:space="preserve">03057900      </v>
      </c>
      <c r="C77" t="s">
        <v>16</v>
      </c>
      <c r="D77" t="s">
        <v>16</v>
      </c>
      <c r="E77" t="s">
        <v>1856</v>
      </c>
      <c r="F77" t="s">
        <v>1857</v>
      </c>
    </row>
    <row r="78" spans="1:6" x14ac:dyDescent="0.25">
      <c r="A78" t="s">
        <v>1678</v>
      </c>
      <c r="B78" t="str">
        <f>"03061110      "</f>
        <v xml:space="preserve">03061110      </v>
      </c>
      <c r="C78" t="s">
        <v>1858</v>
      </c>
      <c r="D78" t="s">
        <v>1858</v>
      </c>
      <c r="E78" t="s">
        <v>1859</v>
      </c>
      <c r="F78" t="s">
        <v>1860</v>
      </c>
    </row>
    <row r="79" spans="1:6" x14ac:dyDescent="0.25">
      <c r="A79" t="s">
        <v>1678</v>
      </c>
      <c r="B79" t="str">
        <f>"03061190      "</f>
        <v xml:space="preserve">03061190      </v>
      </c>
      <c r="C79" t="s">
        <v>16</v>
      </c>
      <c r="D79" t="s">
        <v>16</v>
      </c>
      <c r="E79" t="s">
        <v>1861</v>
      </c>
      <c r="F79" t="s">
        <v>1862</v>
      </c>
    </row>
    <row r="80" spans="1:6" x14ac:dyDescent="0.25">
      <c r="A80" t="s">
        <v>1678</v>
      </c>
      <c r="B80" t="str">
        <f>"03061210      "</f>
        <v xml:space="preserve">03061210      </v>
      </c>
      <c r="C80" t="s">
        <v>1863</v>
      </c>
      <c r="D80" t="s">
        <v>1863</v>
      </c>
      <c r="E80" t="s">
        <v>1864</v>
      </c>
      <c r="F80" t="s">
        <v>1865</v>
      </c>
    </row>
    <row r="81" spans="1:6" x14ac:dyDescent="0.25">
      <c r="A81" t="s">
        <v>1678</v>
      </c>
      <c r="B81" t="str">
        <f>"03061290      "</f>
        <v xml:space="preserve">03061290      </v>
      </c>
      <c r="C81" t="s">
        <v>16</v>
      </c>
      <c r="D81" t="s">
        <v>16</v>
      </c>
      <c r="E81" t="s">
        <v>1866</v>
      </c>
      <c r="F81" t="s">
        <v>1867</v>
      </c>
    </row>
    <row r="82" spans="1:6" x14ac:dyDescent="0.25">
      <c r="A82" t="s">
        <v>1678</v>
      </c>
      <c r="B82" t="str">
        <f>"03061410      "</f>
        <v xml:space="preserve">03061410      </v>
      </c>
      <c r="C82" t="s">
        <v>1868</v>
      </c>
      <c r="D82" t="s">
        <v>1868</v>
      </c>
      <c r="E82" t="s">
        <v>1869</v>
      </c>
      <c r="F82" t="s">
        <v>1870</v>
      </c>
    </row>
    <row r="83" spans="1:6" x14ac:dyDescent="0.25">
      <c r="A83" t="s">
        <v>1678</v>
      </c>
      <c r="B83" t="str">
        <f>"03061430      "</f>
        <v xml:space="preserve">03061430      </v>
      </c>
      <c r="C83" t="s">
        <v>1871</v>
      </c>
      <c r="D83" t="s">
        <v>1871</v>
      </c>
      <c r="E83" t="s">
        <v>1872</v>
      </c>
      <c r="F83" t="s">
        <v>1873</v>
      </c>
    </row>
    <row r="84" spans="1:6" x14ac:dyDescent="0.25">
      <c r="A84" t="s">
        <v>1678</v>
      </c>
      <c r="B84" t="str">
        <f>"03061490      "</f>
        <v xml:space="preserve">03061490      </v>
      </c>
      <c r="C84" t="s">
        <v>16</v>
      </c>
      <c r="D84" t="s">
        <v>16</v>
      </c>
      <c r="E84" t="s">
        <v>1874</v>
      </c>
      <c r="F84" t="s">
        <v>1875</v>
      </c>
    </row>
    <row r="85" spans="1:6" x14ac:dyDescent="0.25">
      <c r="A85" t="s">
        <v>1678</v>
      </c>
      <c r="B85" t="str">
        <f>"03061500      "</f>
        <v xml:space="preserve">03061500      </v>
      </c>
      <c r="C85" t="s">
        <v>1876</v>
      </c>
      <c r="D85" t="s">
        <v>1876</v>
      </c>
      <c r="E85" t="s">
        <v>1877</v>
      </c>
      <c r="F85" t="s">
        <v>1878</v>
      </c>
    </row>
    <row r="86" spans="1:6" x14ac:dyDescent="0.25">
      <c r="A86" t="s">
        <v>1678</v>
      </c>
      <c r="B86" t="str">
        <f>"03061691      "</f>
        <v xml:space="preserve">03061691      </v>
      </c>
      <c r="C86" t="s">
        <v>1879</v>
      </c>
      <c r="D86" t="s">
        <v>1879</v>
      </c>
      <c r="E86" t="s">
        <v>1880</v>
      </c>
      <c r="F86" t="s">
        <v>1881</v>
      </c>
    </row>
    <row r="87" spans="1:6" x14ac:dyDescent="0.25">
      <c r="A87" t="s">
        <v>1678</v>
      </c>
      <c r="B87" t="str">
        <f>"03061699      "</f>
        <v xml:space="preserve">03061699      </v>
      </c>
      <c r="C87" t="s">
        <v>16</v>
      </c>
      <c r="D87" t="s">
        <v>16</v>
      </c>
      <c r="E87" t="s">
        <v>1882</v>
      </c>
      <c r="F87" t="s">
        <v>1883</v>
      </c>
    </row>
    <row r="88" spans="1:6" x14ac:dyDescent="0.25">
      <c r="A88" t="s">
        <v>1678</v>
      </c>
      <c r="B88" t="str">
        <f>"03061791      "</f>
        <v xml:space="preserve">03061791      </v>
      </c>
      <c r="C88" t="s">
        <v>1884</v>
      </c>
      <c r="D88" t="s">
        <v>1884</v>
      </c>
      <c r="E88" t="s">
        <v>1885</v>
      </c>
      <c r="F88" t="s">
        <v>1886</v>
      </c>
    </row>
    <row r="89" spans="1:6" x14ac:dyDescent="0.25">
      <c r="A89" t="s">
        <v>1678</v>
      </c>
      <c r="B89" t="str">
        <f>"03061792      "</f>
        <v xml:space="preserve">03061792      </v>
      </c>
      <c r="C89" t="s">
        <v>1887</v>
      </c>
      <c r="D89" t="s">
        <v>1887</v>
      </c>
      <c r="E89" t="s">
        <v>1888</v>
      </c>
      <c r="F89" t="s">
        <v>1889</v>
      </c>
    </row>
    <row r="90" spans="1:6" x14ac:dyDescent="0.25">
      <c r="A90" t="s">
        <v>1678</v>
      </c>
      <c r="B90" t="str">
        <f>"03061793      "</f>
        <v xml:space="preserve">03061793      </v>
      </c>
      <c r="C90" t="s">
        <v>1890</v>
      </c>
      <c r="D90" t="s">
        <v>1890</v>
      </c>
      <c r="E90" t="s">
        <v>1891</v>
      </c>
      <c r="F90" t="s">
        <v>1892</v>
      </c>
    </row>
    <row r="91" spans="1:6" x14ac:dyDescent="0.25">
      <c r="A91" t="s">
        <v>1678</v>
      </c>
      <c r="B91" t="str">
        <f>"03061794      "</f>
        <v xml:space="preserve">03061794      </v>
      </c>
      <c r="C91" t="s">
        <v>1893</v>
      </c>
      <c r="D91" t="s">
        <v>1893</v>
      </c>
      <c r="E91" t="s">
        <v>1894</v>
      </c>
      <c r="F91" t="s">
        <v>1895</v>
      </c>
    </row>
    <row r="92" spans="1:6" x14ac:dyDescent="0.25">
      <c r="A92" t="s">
        <v>1678</v>
      </c>
      <c r="B92" t="str">
        <f>"03061799      "</f>
        <v xml:space="preserve">03061799      </v>
      </c>
      <c r="C92" t="s">
        <v>16</v>
      </c>
      <c r="D92" t="s">
        <v>16</v>
      </c>
      <c r="E92" t="s">
        <v>1896</v>
      </c>
      <c r="F92" t="s">
        <v>1897</v>
      </c>
    </row>
    <row r="93" spans="1:6" x14ac:dyDescent="0.25">
      <c r="A93" t="s">
        <v>1678</v>
      </c>
      <c r="B93" t="str">
        <f>"03061910      "</f>
        <v xml:space="preserve">03061910      </v>
      </c>
      <c r="C93" t="s">
        <v>1898</v>
      </c>
      <c r="D93" t="s">
        <v>1898</v>
      </c>
      <c r="E93" t="s">
        <v>1899</v>
      </c>
      <c r="F93" t="s">
        <v>1900</v>
      </c>
    </row>
    <row r="94" spans="1:6" x14ac:dyDescent="0.25">
      <c r="A94" t="s">
        <v>1678</v>
      </c>
      <c r="B94" t="str">
        <f>"03061990      "</f>
        <v xml:space="preserve">03061990      </v>
      </c>
      <c r="C94" t="s">
        <v>16</v>
      </c>
      <c r="D94" t="s">
        <v>16</v>
      </c>
      <c r="E94" t="s">
        <v>1901</v>
      </c>
      <c r="F94" t="s">
        <v>1902</v>
      </c>
    </row>
    <row r="95" spans="1:6" x14ac:dyDescent="0.25">
      <c r="A95" t="s">
        <v>1678</v>
      </c>
      <c r="B95" t="str">
        <f>"03063100      "</f>
        <v xml:space="preserve">03063100      </v>
      </c>
      <c r="C95" t="s">
        <v>1903</v>
      </c>
      <c r="D95" t="s">
        <v>1903</v>
      </c>
      <c r="E95" t="s">
        <v>1904</v>
      </c>
      <c r="F95" t="s">
        <v>1905</v>
      </c>
    </row>
    <row r="96" spans="1:6" x14ac:dyDescent="0.25">
      <c r="A96" t="s">
        <v>1678</v>
      </c>
      <c r="B96" t="str">
        <f>"03063210      "</f>
        <v xml:space="preserve">03063210      </v>
      </c>
      <c r="C96" t="s">
        <v>1906</v>
      </c>
      <c r="D96" t="s">
        <v>1906</v>
      </c>
      <c r="E96" t="s">
        <v>1907</v>
      </c>
      <c r="F96" t="s">
        <v>1908</v>
      </c>
    </row>
    <row r="97" spans="1:6" x14ac:dyDescent="0.25">
      <c r="A97" t="s">
        <v>1678</v>
      </c>
      <c r="B97" t="str">
        <f>"03063291      "</f>
        <v xml:space="preserve">03063291      </v>
      </c>
      <c r="C97" t="s">
        <v>1863</v>
      </c>
      <c r="D97" t="s">
        <v>1863</v>
      </c>
      <c r="E97" t="s">
        <v>1909</v>
      </c>
      <c r="F97" t="s">
        <v>1910</v>
      </c>
    </row>
    <row r="98" spans="1:6" x14ac:dyDescent="0.25">
      <c r="A98" t="s">
        <v>1678</v>
      </c>
      <c r="B98" t="str">
        <f>"03063299      "</f>
        <v xml:space="preserve">03063299      </v>
      </c>
      <c r="C98" t="s">
        <v>16</v>
      </c>
      <c r="D98" t="s">
        <v>16</v>
      </c>
      <c r="E98" t="s">
        <v>1911</v>
      </c>
      <c r="F98" t="s">
        <v>1912</v>
      </c>
    </row>
    <row r="99" spans="1:6" x14ac:dyDescent="0.25">
      <c r="A99" t="s">
        <v>1678</v>
      </c>
      <c r="B99" t="str">
        <f>"03063310      "</f>
        <v xml:space="preserve">03063310      </v>
      </c>
      <c r="C99" t="s">
        <v>1871</v>
      </c>
      <c r="D99" t="s">
        <v>1871</v>
      </c>
      <c r="E99" t="s">
        <v>1913</v>
      </c>
      <c r="F99" t="s">
        <v>1914</v>
      </c>
    </row>
    <row r="100" spans="1:6" x14ac:dyDescent="0.25">
      <c r="A100" t="s">
        <v>1678</v>
      </c>
      <c r="B100" t="str">
        <f>"03063390      "</f>
        <v xml:space="preserve">03063390      </v>
      </c>
      <c r="C100" t="s">
        <v>16</v>
      </c>
      <c r="D100" t="s">
        <v>16</v>
      </c>
      <c r="E100" t="s">
        <v>1915</v>
      </c>
      <c r="F100" t="s">
        <v>1916</v>
      </c>
    </row>
    <row r="101" spans="1:6" x14ac:dyDescent="0.25">
      <c r="A101" t="s">
        <v>1678</v>
      </c>
      <c r="B101" t="str">
        <f>"03063400      "</f>
        <v xml:space="preserve">03063400      </v>
      </c>
      <c r="C101" t="s">
        <v>1876</v>
      </c>
      <c r="D101" t="s">
        <v>1876</v>
      </c>
      <c r="E101" t="s">
        <v>1917</v>
      </c>
      <c r="F101" t="s">
        <v>1918</v>
      </c>
    </row>
    <row r="102" spans="1:6" x14ac:dyDescent="0.25">
      <c r="A102" t="s">
        <v>1678</v>
      </c>
      <c r="B102" t="str">
        <f>"03063510      "</f>
        <v xml:space="preserve">03063510      </v>
      </c>
      <c r="C102" t="s">
        <v>1919</v>
      </c>
      <c r="D102" t="s">
        <v>1919</v>
      </c>
      <c r="E102" t="s">
        <v>1920</v>
      </c>
      <c r="F102" t="s">
        <v>1921</v>
      </c>
    </row>
    <row r="103" spans="1:6" x14ac:dyDescent="0.25">
      <c r="A103" t="s">
        <v>1678</v>
      </c>
      <c r="B103" t="str">
        <f>"03063550      "</f>
        <v xml:space="preserve">03063550      </v>
      </c>
      <c r="C103" t="s">
        <v>16</v>
      </c>
      <c r="D103" t="s">
        <v>16</v>
      </c>
      <c r="E103" t="s">
        <v>1922</v>
      </c>
      <c r="F103" t="s">
        <v>1923</v>
      </c>
    </row>
    <row r="104" spans="1:6" x14ac:dyDescent="0.25">
      <c r="A104" t="s">
        <v>1678</v>
      </c>
      <c r="B104" t="str">
        <f>"03063590      "</f>
        <v xml:space="preserve">03063590      </v>
      </c>
      <c r="C104" t="s">
        <v>16</v>
      </c>
      <c r="D104" t="s">
        <v>16</v>
      </c>
      <c r="E104" t="s">
        <v>1924</v>
      </c>
      <c r="F104" t="s">
        <v>1925</v>
      </c>
    </row>
    <row r="105" spans="1:6" x14ac:dyDescent="0.25">
      <c r="A105" t="s">
        <v>1678</v>
      </c>
      <c r="B105" t="str">
        <f>"03063610      "</f>
        <v xml:space="preserve">03063610      </v>
      </c>
      <c r="C105" t="s">
        <v>1890</v>
      </c>
      <c r="D105" t="s">
        <v>1890</v>
      </c>
      <c r="E105" t="s">
        <v>1926</v>
      </c>
      <c r="F105" t="s">
        <v>1927</v>
      </c>
    </row>
    <row r="106" spans="1:6" x14ac:dyDescent="0.25">
      <c r="A106" t="s">
        <v>1678</v>
      </c>
      <c r="B106" t="str">
        <f>"03063650      "</f>
        <v xml:space="preserve">03063650      </v>
      </c>
      <c r="C106" t="s">
        <v>1893</v>
      </c>
      <c r="D106" t="s">
        <v>1893</v>
      </c>
      <c r="E106" t="s">
        <v>1928</v>
      </c>
      <c r="F106" t="s">
        <v>1929</v>
      </c>
    </row>
    <row r="107" spans="1:6" x14ac:dyDescent="0.25">
      <c r="A107" t="s">
        <v>1678</v>
      </c>
      <c r="B107" t="str">
        <f>"03063690      "</f>
        <v xml:space="preserve">03063690      </v>
      </c>
      <c r="C107" t="s">
        <v>16</v>
      </c>
      <c r="D107" t="s">
        <v>16</v>
      </c>
      <c r="E107" t="s">
        <v>1930</v>
      </c>
      <c r="F107" t="s">
        <v>1931</v>
      </c>
    </row>
    <row r="108" spans="1:6" x14ac:dyDescent="0.25">
      <c r="A108" t="s">
        <v>1678</v>
      </c>
      <c r="B108" t="str">
        <f>"03063910      "</f>
        <v xml:space="preserve">03063910      </v>
      </c>
      <c r="C108" t="s">
        <v>1898</v>
      </c>
      <c r="D108" t="s">
        <v>1898</v>
      </c>
      <c r="E108" t="s">
        <v>1932</v>
      </c>
      <c r="F108" t="s">
        <v>1933</v>
      </c>
    </row>
    <row r="109" spans="1:6" x14ac:dyDescent="0.25">
      <c r="A109" t="s">
        <v>1678</v>
      </c>
      <c r="B109" t="str">
        <f>"03063990      "</f>
        <v xml:space="preserve">03063990      </v>
      </c>
      <c r="C109" t="s">
        <v>16</v>
      </c>
      <c r="D109" t="s">
        <v>16</v>
      </c>
      <c r="E109" t="s">
        <v>1934</v>
      </c>
      <c r="F109" t="s">
        <v>1935</v>
      </c>
    </row>
    <row r="110" spans="1:6" x14ac:dyDescent="0.25">
      <c r="A110" t="s">
        <v>1678</v>
      </c>
      <c r="B110" t="str">
        <f>"03069100      "</f>
        <v xml:space="preserve">03069100      </v>
      </c>
      <c r="C110" t="s">
        <v>1903</v>
      </c>
      <c r="D110" t="s">
        <v>1903</v>
      </c>
      <c r="E110" t="s">
        <v>1936</v>
      </c>
      <c r="F110" t="s">
        <v>1937</v>
      </c>
    </row>
    <row r="111" spans="1:6" x14ac:dyDescent="0.25">
      <c r="A111" t="s">
        <v>1678</v>
      </c>
      <c r="B111" t="str">
        <f>"03069210      "</f>
        <v xml:space="preserve">03069210      </v>
      </c>
      <c r="C111" t="s">
        <v>1863</v>
      </c>
      <c r="D111" t="s">
        <v>1863</v>
      </c>
      <c r="E111" t="s">
        <v>1938</v>
      </c>
      <c r="F111" t="s">
        <v>1939</v>
      </c>
    </row>
    <row r="112" spans="1:6" x14ac:dyDescent="0.25">
      <c r="A112" t="s">
        <v>1678</v>
      </c>
      <c r="B112" t="str">
        <f>"03069290      "</f>
        <v xml:space="preserve">03069290      </v>
      </c>
      <c r="C112" t="s">
        <v>16</v>
      </c>
      <c r="D112" t="s">
        <v>16</v>
      </c>
      <c r="E112" t="s">
        <v>1940</v>
      </c>
      <c r="F112" t="s">
        <v>1941</v>
      </c>
    </row>
    <row r="113" spans="1:6" x14ac:dyDescent="0.25">
      <c r="A113" t="s">
        <v>1678</v>
      </c>
      <c r="B113" t="str">
        <f>"03069310      "</f>
        <v xml:space="preserve">03069310      </v>
      </c>
      <c r="C113" t="s">
        <v>1871</v>
      </c>
      <c r="D113" t="s">
        <v>1871</v>
      </c>
      <c r="E113" t="s">
        <v>1942</v>
      </c>
      <c r="F113" t="s">
        <v>1943</v>
      </c>
    </row>
    <row r="114" spans="1:6" x14ac:dyDescent="0.25">
      <c r="A114" t="s">
        <v>1678</v>
      </c>
      <c r="B114" t="str">
        <f>"03069390      "</f>
        <v xml:space="preserve">03069390      </v>
      </c>
      <c r="C114" t="s">
        <v>16</v>
      </c>
      <c r="D114" t="s">
        <v>16</v>
      </c>
      <c r="E114" t="s">
        <v>1944</v>
      </c>
      <c r="F114" t="s">
        <v>1945</v>
      </c>
    </row>
    <row r="115" spans="1:6" x14ac:dyDescent="0.25">
      <c r="A115" t="s">
        <v>1678</v>
      </c>
      <c r="B115" t="str">
        <f>"03069400      "</f>
        <v xml:space="preserve">03069400      </v>
      </c>
      <c r="C115" t="s">
        <v>1876</v>
      </c>
      <c r="D115" t="s">
        <v>1876</v>
      </c>
      <c r="E115" t="s">
        <v>1946</v>
      </c>
      <c r="F115" t="s">
        <v>1947</v>
      </c>
    </row>
    <row r="116" spans="1:6" x14ac:dyDescent="0.25">
      <c r="A116" t="s">
        <v>1678</v>
      </c>
      <c r="B116" t="str">
        <f>"03069511      "</f>
        <v xml:space="preserve">03069511      </v>
      </c>
      <c r="C116" t="s">
        <v>1948</v>
      </c>
      <c r="D116" t="s">
        <v>1948</v>
      </c>
      <c r="E116" t="s">
        <v>1949</v>
      </c>
      <c r="F116" t="s">
        <v>1950</v>
      </c>
    </row>
    <row r="117" spans="1:6" x14ac:dyDescent="0.25">
      <c r="A117" t="s">
        <v>1678</v>
      </c>
      <c r="B117" t="str">
        <f>"03069519      "</f>
        <v xml:space="preserve">03069519      </v>
      </c>
      <c r="C117" t="s">
        <v>16</v>
      </c>
      <c r="D117" t="s">
        <v>16</v>
      </c>
      <c r="E117" t="s">
        <v>1951</v>
      </c>
      <c r="F117" t="s">
        <v>1952</v>
      </c>
    </row>
    <row r="118" spans="1:6" x14ac:dyDescent="0.25">
      <c r="A118" t="s">
        <v>1678</v>
      </c>
      <c r="B118" t="str">
        <f>"03069520      "</f>
        <v xml:space="preserve">03069520      </v>
      </c>
      <c r="C118" t="s">
        <v>1953</v>
      </c>
      <c r="D118" t="s">
        <v>1953</v>
      </c>
      <c r="E118" t="s">
        <v>1954</v>
      </c>
      <c r="F118" t="s">
        <v>1955</v>
      </c>
    </row>
    <row r="119" spans="1:6" x14ac:dyDescent="0.25">
      <c r="A119" t="s">
        <v>1678</v>
      </c>
      <c r="B119" t="str">
        <f>"03069530      "</f>
        <v xml:space="preserve">03069530      </v>
      </c>
      <c r="C119" t="s">
        <v>1890</v>
      </c>
      <c r="D119" t="s">
        <v>1890</v>
      </c>
      <c r="E119" t="s">
        <v>1956</v>
      </c>
      <c r="F119" t="s">
        <v>1957</v>
      </c>
    </row>
    <row r="120" spans="1:6" x14ac:dyDescent="0.25">
      <c r="A120" t="s">
        <v>1678</v>
      </c>
      <c r="B120" t="str">
        <f>"03069540      "</f>
        <v xml:space="preserve">03069540      </v>
      </c>
      <c r="C120" t="s">
        <v>1893</v>
      </c>
      <c r="D120" t="s">
        <v>1893</v>
      </c>
      <c r="E120" t="s">
        <v>1958</v>
      </c>
      <c r="F120" t="s">
        <v>1959</v>
      </c>
    </row>
    <row r="121" spans="1:6" x14ac:dyDescent="0.25">
      <c r="A121" t="s">
        <v>1678</v>
      </c>
      <c r="B121" t="str">
        <f>"03069590      "</f>
        <v xml:space="preserve">03069590      </v>
      </c>
      <c r="C121" t="s">
        <v>16</v>
      </c>
      <c r="D121" t="s">
        <v>16</v>
      </c>
      <c r="E121" t="s">
        <v>1960</v>
      </c>
      <c r="F121" t="s">
        <v>1961</v>
      </c>
    </row>
    <row r="122" spans="1:6" x14ac:dyDescent="0.25">
      <c r="A122" t="s">
        <v>1678</v>
      </c>
      <c r="B122" t="str">
        <f>"03069910      "</f>
        <v xml:space="preserve">03069910      </v>
      </c>
      <c r="C122" t="s">
        <v>1898</v>
      </c>
      <c r="D122" t="s">
        <v>1898</v>
      </c>
      <c r="E122" t="s">
        <v>1962</v>
      </c>
      <c r="F122" t="s">
        <v>1963</v>
      </c>
    </row>
    <row r="123" spans="1:6" x14ac:dyDescent="0.25">
      <c r="A123" t="s">
        <v>1678</v>
      </c>
      <c r="B123" t="str">
        <f>"03069990      "</f>
        <v xml:space="preserve">03069990      </v>
      </c>
      <c r="C123" t="s">
        <v>16</v>
      </c>
      <c r="D123" t="s">
        <v>16</v>
      </c>
      <c r="E123" t="s">
        <v>1964</v>
      </c>
      <c r="F123" t="s">
        <v>1965</v>
      </c>
    </row>
    <row r="124" spans="1:6" x14ac:dyDescent="0.25">
      <c r="A124" t="s">
        <v>1678</v>
      </c>
      <c r="B124" t="str">
        <f>"03071110      "</f>
        <v xml:space="preserve">03071110      </v>
      </c>
      <c r="C124" t="s">
        <v>1966</v>
      </c>
      <c r="D124" t="s">
        <v>1966</v>
      </c>
      <c r="E124" t="s">
        <v>1967</v>
      </c>
      <c r="F124" t="s">
        <v>1968</v>
      </c>
    </row>
    <row r="125" spans="1:6" x14ac:dyDescent="0.25">
      <c r="A125" t="s">
        <v>1678</v>
      </c>
      <c r="B125" t="str">
        <f>"03071190      "</f>
        <v xml:space="preserve">03071190      </v>
      </c>
      <c r="C125" t="s">
        <v>16</v>
      </c>
      <c r="D125" t="s">
        <v>16</v>
      </c>
      <c r="E125" t="s">
        <v>1969</v>
      </c>
      <c r="F125" t="s">
        <v>1970</v>
      </c>
    </row>
    <row r="126" spans="1:6" x14ac:dyDescent="0.25">
      <c r="A126" t="s">
        <v>1678</v>
      </c>
      <c r="B126" t="str">
        <f>"03071200      "</f>
        <v xml:space="preserve">03071200      </v>
      </c>
      <c r="C126" t="s">
        <v>1971</v>
      </c>
      <c r="D126" t="s">
        <v>1971</v>
      </c>
      <c r="E126" t="s">
        <v>1972</v>
      </c>
      <c r="F126" t="s">
        <v>1973</v>
      </c>
    </row>
    <row r="127" spans="1:6" x14ac:dyDescent="0.25">
      <c r="A127" t="s">
        <v>1678</v>
      </c>
      <c r="B127" t="str">
        <f>"03071900      "</f>
        <v xml:space="preserve">03071900      </v>
      </c>
      <c r="C127" t="s">
        <v>16</v>
      </c>
      <c r="D127" t="s">
        <v>16</v>
      </c>
      <c r="E127" t="s">
        <v>1974</v>
      </c>
      <c r="F127" t="s">
        <v>1975</v>
      </c>
    </row>
    <row r="128" spans="1:6" x14ac:dyDescent="0.25">
      <c r="A128" t="s">
        <v>1678</v>
      </c>
      <c r="B128" t="str">
        <f>"03072210      "</f>
        <v xml:space="preserve">03072210      </v>
      </c>
      <c r="C128" t="s">
        <v>1976</v>
      </c>
      <c r="D128" t="s">
        <v>1976</v>
      </c>
      <c r="E128" t="s">
        <v>1977</v>
      </c>
      <c r="F128" t="s">
        <v>1978</v>
      </c>
    </row>
    <row r="129" spans="1:6" x14ac:dyDescent="0.25">
      <c r="A129" t="s">
        <v>1678</v>
      </c>
      <c r="B129" t="str">
        <f>"03072290      "</f>
        <v xml:space="preserve">03072290      </v>
      </c>
      <c r="C129" t="s">
        <v>16</v>
      </c>
      <c r="D129" t="s">
        <v>16</v>
      </c>
      <c r="E129" t="s">
        <v>1979</v>
      </c>
      <c r="F129" t="s">
        <v>1980</v>
      </c>
    </row>
    <row r="130" spans="1:6" x14ac:dyDescent="0.25">
      <c r="A130" t="s">
        <v>1678</v>
      </c>
      <c r="B130" t="str">
        <f>"03073110      "</f>
        <v xml:space="preserve">03073110      </v>
      </c>
      <c r="C130" t="s">
        <v>1981</v>
      </c>
      <c r="D130" t="s">
        <v>1981</v>
      </c>
      <c r="E130" t="s">
        <v>1982</v>
      </c>
      <c r="F130" t="s">
        <v>1983</v>
      </c>
    </row>
    <row r="131" spans="1:6" x14ac:dyDescent="0.25">
      <c r="A131" t="s">
        <v>1678</v>
      </c>
      <c r="B131" t="str">
        <f>"03073190      "</f>
        <v xml:space="preserve">03073190      </v>
      </c>
      <c r="C131" t="s">
        <v>1984</v>
      </c>
      <c r="D131" t="s">
        <v>1984</v>
      </c>
      <c r="E131" t="s">
        <v>1985</v>
      </c>
      <c r="F131" t="s">
        <v>1986</v>
      </c>
    </row>
    <row r="132" spans="1:6" x14ac:dyDescent="0.25">
      <c r="A132" t="s">
        <v>1678</v>
      </c>
      <c r="B132" t="str">
        <f>"03073210      "</f>
        <v xml:space="preserve">03073210      </v>
      </c>
      <c r="C132" t="s">
        <v>1981</v>
      </c>
      <c r="D132" t="s">
        <v>1981</v>
      </c>
      <c r="E132" t="s">
        <v>1987</v>
      </c>
      <c r="F132" t="s">
        <v>1988</v>
      </c>
    </row>
    <row r="133" spans="1:6" x14ac:dyDescent="0.25">
      <c r="A133" t="s">
        <v>1678</v>
      </c>
      <c r="B133" t="str">
        <f>"03073290      "</f>
        <v xml:space="preserve">03073290      </v>
      </c>
      <c r="C133" t="s">
        <v>1984</v>
      </c>
      <c r="D133" t="s">
        <v>1984</v>
      </c>
      <c r="E133" t="s">
        <v>1989</v>
      </c>
      <c r="F133" t="s">
        <v>1990</v>
      </c>
    </row>
    <row r="134" spans="1:6" x14ac:dyDescent="0.25">
      <c r="A134" t="s">
        <v>1678</v>
      </c>
      <c r="B134" t="str">
        <f>"03073920      "</f>
        <v xml:space="preserve">03073920      </v>
      </c>
      <c r="C134" t="s">
        <v>1981</v>
      </c>
      <c r="D134" t="s">
        <v>1981</v>
      </c>
      <c r="E134" t="s">
        <v>1991</v>
      </c>
      <c r="F134" t="s">
        <v>1992</v>
      </c>
    </row>
    <row r="135" spans="1:6" x14ac:dyDescent="0.25">
      <c r="A135" t="s">
        <v>1678</v>
      </c>
      <c r="B135" t="str">
        <f>"03073980      "</f>
        <v xml:space="preserve">03073980      </v>
      </c>
      <c r="C135" t="s">
        <v>1984</v>
      </c>
      <c r="D135" t="s">
        <v>1984</v>
      </c>
      <c r="E135" t="s">
        <v>1993</v>
      </c>
      <c r="F135" t="s">
        <v>1994</v>
      </c>
    </row>
    <row r="136" spans="1:6" x14ac:dyDescent="0.25">
      <c r="A136" t="s">
        <v>1678</v>
      </c>
      <c r="B136" t="str">
        <f>"03074210      "</f>
        <v xml:space="preserve">03074210      </v>
      </c>
      <c r="C136" t="s">
        <v>1995</v>
      </c>
      <c r="D136" t="s">
        <v>1995</v>
      </c>
      <c r="E136" t="s">
        <v>1996</v>
      </c>
      <c r="F136" t="s">
        <v>1997</v>
      </c>
    </row>
    <row r="137" spans="1:6" x14ac:dyDescent="0.25">
      <c r="A137" t="s">
        <v>1678</v>
      </c>
      <c r="B137" t="str">
        <f>"03074220      "</f>
        <v xml:space="preserve">03074220      </v>
      </c>
      <c r="C137" t="s">
        <v>1998</v>
      </c>
      <c r="D137" t="s">
        <v>1998</v>
      </c>
      <c r="E137" t="s">
        <v>1999</v>
      </c>
      <c r="F137" t="s">
        <v>2000</v>
      </c>
    </row>
    <row r="138" spans="1:6" x14ac:dyDescent="0.25">
      <c r="A138" t="s">
        <v>1678</v>
      </c>
      <c r="B138" t="str">
        <f>"03074230      "</f>
        <v xml:space="preserve">03074230      </v>
      </c>
      <c r="C138" t="s">
        <v>2001</v>
      </c>
      <c r="D138" t="s">
        <v>2001</v>
      </c>
      <c r="E138" t="s">
        <v>2002</v>
      </c>
      <c r="F138" t="s">
        <v>2003</v>
      </c>
    </row>
    <row r="139" spans="1:6" x14ac:dyDescent="0.25">
      <c r="A139" t="s">
        <v>1678</v>
      </c>
      <c r="B139" t="str">
        <f>"03074240      "</f>
        <v xml:space="preserve">03074240      </v>
      </c>
      <c r="C139" t="s">
        <v>2004</v>
      </c>
      <c r="D139" t="s">
        <v>2004</v>
      </c>
      <c r="E139" t="s">
        <v>2005</v>
      </c>
      <c r="F139" t="s">
        <v>2006</v>
      </c>
    </row>
    <row r="140" spans="1:6" x14ac:dyDescent="0.25">
      <c r="A140" t="s">
        <v>1678</v>
      </c>
      <c r="B140" t="str">
        <f>"03074290      "</f>
        <v xml:space="preserve">03074290      </v>
      </c>
      <c r="C140" t="s">
        <v>16</v>
      </c>
      <c r="D140" t="s">
        <v>16</v>
      </c>
      <c r="E140" t="s">
        <v>2007</v>
      </c>
      <c r="F140" t="s">
        <v>2008</v>
      </c>
    </row>
    <row r="141" spans="1:6" x14ac:dyDescent="0.25">
      <c r="A141" t="s">
        <v>1678</v>
      </c>
      <c r="B141" t="str">
        <f>"03074321      "</f>
        <v xml:space="preserve">03074321      </v>
      </c>
      <c r="C141" t="s">
        <v>2009</v>
      </c>
      <c r="D141" t="s">
        <v>2009</v>
      </c>
      <c r="E141" t="s">
        <v>2010</v>
      </c>
      <c r="F141" t="s">
        <v>2011</v>
      </c>
    </row>
    <row r="142" spans="1:6" x14ac:dyDescent="0.25">
      <c r="A142" t="s">
        <v>1678</v>
      </c>
      <c r="B142" t="str">
        <f>"03074325      "</f>
        <v xml:space="preserve">03074325      </v>
      </c>
      <c r="C142" t="s">
        <v>16</v>
      </c>
      <c r="D142" t="s">
        <v>16</v>
      </c>
      <c r="E142" t="s">
        <v>2012</v>
      </c>
      <c r="F142" t="s">
        <v>2013</v>
      </c>
    </row>
    <row r="143" spans="1:6" x14ac:dyDescent="0.25">
      <c r="A143" t="s">
        <v>1678</v>
      </c>
      <c r="B143" t="str">
        <f>"03074329      "</f>
        <v xml:space="preserve">03074329      </v>
      </c>
      <c r="C143" t="s">
        <v>2014</v>
      </c>
      <c r="D143" t="s">
        <v>2014</v>
      </c>
      <c r="E143" t="s">
        <v>2015</v>
      </c>
      <c r="F143" t="s">
        <v>2016</v>
      </c>
    </row>
    <row r="144" spans="1:6" x14ac:dyDescent="0.25">
      <c r="A144" t="s">
        <v>1678</v>
      </c>
      <c r="B144" t="str">
        <f>"03074331      "</f>
        <v xml:space="preserve">03074331      </v>
      </c>
      <c r="C144" t="s">
        <v>2017</v>
      </c>
      <c r="D144" t="s">
        <v>2017</v>
      </c>
      <c r="E144" t="s">
        <v>2018</v>
      </c>
      <c r="F144" t="s">
        <v>2019</v>
      </c>
    </row>
    <row r="145" spans="1:6" x14ac:dyDescent="0.25">
      <c r="A145" t="s">
        <v>1678</v>
      </c>
      <c r="B145" t="str">
        <f>"03074333      "</f>
        <v xml:space="preserve">03074333      </v>
      </c>
      <c r="C145" t="s">
        <v>2020</v>
      </c>
      <c r="D145" t="s">
        <v>2020</v>
      </c>
      <c r="E145" t="s">
        <v>2021</v>
      </c>
      <c r="F145" t="s">
        <v>2022</v>
      </c>
    </row>
    <row r="146" spans="1:6" x14ac:dyDescent="0.25">
      <c r="A146" t="s">
        <v>1678</v>
      </c>
      <c r="B146" t="str">
        <f>"03074335      "</f>
        <v xml:space="preserve">03074335      </v>
      </c>
      <c r="C146" t="s">
        <v>2023</v>
      </c>
      <c r="D146" t="s">
        <v>2023</v>
      </c>
      <c r="E146" t="s">
        <v>2024</v>
      </c>
      <c r="F146" t="s">
        <v>2025</v>
      </c>
    </row>
    <row r="147" spans="1:6" x14ac:dyDescent="0.25">
      <c r="A147" t="s">
        <v>1678</v>
      </c>
      <c r="B147" t="str">
        <f>"03074338      "</f>
        <v xml:space="preserve">03074338      </v>
      </c>
      <c r="C147" t="s">
        <v>16</v>
      </c>
      <c r="D147" t="s">
        <v>16</v>
      </c>
      <c r="E147" t="s">
        <v>2026</v>
      </c>
      <c r="F147" t="s">
        <v>2027</v>
      </c>
    </row>
    <row r="148" spans="1:6" x14ac:dyDescent="0.25">
      <c r="A148" t="s">
        <v>1678</v>
      </c>
      <c r="B148" t="str">
        <f>"03074391      "</f>
        <v xml:space="preserve">03074391      </v>
      </c>
      <c r="C148" t="s">
        <v>2028</v>
      </c>
      <c r="D148" t="s">
        <v>2028</v>
      </c>
      <c r="E148" t="s">
        <v>2029</v>
      </c>
      <c r="F148" t="s">
        <v>2030</v>
      </c>
    </row>
    <row r="149" spans="1:6" x14ac:dyDescent="0.25">
      <c r="A149" t="s">
        <v>1678</v>
      </c>
      <c r="B149" t="str">
        <f>"03074392      "</f>
        <v xml:space="preserve">03074392      </v>
      </c>
      <c r="C149" t="s">
        <v>2031</v>
      </c>
      <c r="D149" t="s">
        <v>2031</v>
      </c>
      <c r="E149" t="s">
        <v>2032</v>
      </c>
      <c r="F149" t="s">
        <v>2033</v>
      </c>
    </row>
    <row r="150" spans="1:6" x14ac:dyDescent="0.25">
      <c r="A150" t="s">
        <v>1678</v>
      </c>
      <c r="B150" t="str">
        <f>"03074395      "</f>
        <v xml:space="preserve">03074395      </v>
      </c>
      <c r="C150" t="s">
        <v>2034</v>
      </c>
      <c r="D150" t="s">
        <v>2034</v>
      </c>
      <c r="E150" t="s">
        <v>2035</v>
      </c>
      <c r="F150" t="s">
        <v>2036</v>
      </c>
    </row>
    <row r="151" spans="1:6" x14ac:dyDescent="0.25">
      <c r="A151" t="s">
        <v>1678</v>
      </c>
      <c r="B151" t="str">
        <f>"03074399      "</f>
        <v xml:space="preserve">03074399      </v>
      </c>
      <c r="C151" t="s">
        <v>16</v>
      </c>
      <c r="D151" t="s">
        <v>16</v>
      </c>
      <c r="E151" t="s">
        <v>2037</v>
      </c>
      <c r="F151" t="s">
        <v>2038</v>
      </c>
    </row>
    <row r="152" spans="1:6" x14ac:dyDescent="0.25">
      <c r="A152" t="s">
        <v>1678</v>
      </c>
      <c r="B152" t="str">
        <f>"03074920      "</f>
        <v xml:space="preserve">03074920      </v>
      </c>
      <c r="C152" t="s">
        <v>1995</v>
      </c>
      <c r="D152" t="s">
        <v>1995</v>
      </c>
      <c r="E152" t="s">
        <v>2039</v>
      </c>
      <c r="F152" t="s">
        <v>2040</v>
      </c>
    </row>
    <row r="153" spans="1:6" x14ac:dyDescent="0.25">
      <c r="A153" t="s">
        <v>1678</v>
      </c>
      <c r="B153" t="str">
        <f>"03074940      "</f>
        <v xml:space="preserve">03074940      </v>
      </c>
      <c r="C153" t="s">
        <v>1998</v>
      </c>
      <c r="D153" t="s">
        <v>1998</v>
      </c>
      <c r="E153" t="s">
        <v>2041</v>
      </c>
      <c r="F153" t="s">
        <v>2042</v>
      </c>
    </row>
    <row r="154" spans="1:6" x14ac:dyDescent="0.25">
      <c r="A154" t="s">
        <v>1678</v>
      </c>
      <c r="B154" t="str">
        <f>"03074950      "</f>
        <v xml:space="preserve">03074950      </v>
      </c>
      <c r="C154" t="s">
        <v>2028</v>
      </c>
      <c r="D154" t="s">
        <v>2028</v>
      </c>
      <c r="E154" t="s">
        <v>2043</v>
      </c>
      <c r="F154" t="s">
        <v>2044</v>
      </c>
    </row>
    <row r="155" spans="1:6" x14ac:dyDescent="0.25">
      <c r="A155" t="s">
        <v>1678</v>
      </c>
      <c r="B155" t="str">
        <f>"03074960      "</f>
        <v xml:space="preserve">03074960      </v>
      </c>
      <c r="C155" t="s">
        <v>2034</v>
      </c>
      <c r="D155" t="s">
        <v>2034</v>
      </c>
      <c r="E155" t="s">
        <v>2045</v>
      </c>
      <c r="F155" t="s">
        <v>2046</v>
      </c>
    </row>
    <row r="156" spans="1:6" x14ac:dyDescent="0.25">
      <c r="A156" t="s">
        <v>1678</v>
      </c>
      <c r="B156" t="str">
        <f>"03074980      "</f>
        <v xml:space="preserve">03074980      </v>
      </c>
      <c r="C156" t="s">
        <v>16</v>
      </c>
      <c r="D156" t="s">
        <v>16</v>
      </c>
      <c r="E156" t="s">
        <v>2047</v>
      </c>
      <c r="F156" t="s">
        <v>2048</v>
      </c>
    </row>
    <row r="157" spans="1:6" x14ac:dyDescent="0.25">
      <c r="A157" t="s">
        <v>1678</v>
      </c>
      <c r="B157" t="str">
        <f>"03075100      "</f>
        <v xml:space="preserve">03075100      </v>
      </c>
      <c r="C157" t="s">
        <v>2049</v>
      </c>
      <c r="D157" t="s">
        <v>2049</v>
      </c>
      <c r="E157" t="s">
        <v>2050</v>
      </c>
      <c r="F157" t="s">
        <v>2051</v>
      </c>
    </row>
    <row r="158" spans="1:6" x14ac:dyDescent="0.25">
      <c r="A158" t="s">
        <v>1678</v>
      </c>
      <c r="B158" t="str">
        <f>"03075200      "</f>
        <v xml:space="preserve">03075200      </v>
      </c>
      <c r="C158" t="s">
        <v>1971</v>
      </c>
      <c r="D158" t="s">
        <v>1971</v>
      </c>
      <c r="E158" t="s">
        <v>2052</v>
      </c>
      <c r="F158" t="s">
        <v>2053</v>
      </c>
    </row>
    <row r="159" spans="1:6" x14ac:dyDescent="0.25">
      <c r="A159" t="s">
        <v>1678</v>
      </c>
      <c r="B159" t="str">
        <f>"03075900      "</f>
        <v xml:space="preserve">03075900      </v>
      </c>
      <c r="C159" t="s">
        <v>16</v>
      </c>
      <c r="D159" t="s">
        <v>16</v>
      </c>
      <c r="E159" t="s">
        <v>2054</v>
      </c>
      <c r="F159" t="s">
        <v>2055</v>
      </c>
    </row>
    <row r="160" spans="1:6" x14ac:dyDescent="0.25">
      <c r="A160" t="s">
        <v>1678</v>
      </c>
      <c r="B160" t="str">
        <f>"03076000      "</f>
        <v xml:space="preserve">03076000      </v>
      </c>
      <c r="C160" t="s">
        <v>2056</v>
      </c>
      <c r="D160" t="s">
        <v>2056</v>
      </c>
      <c r="E160" t="s">
        <v>2057</v>
      </c>
      <c r="F160" t="s">
        <v>2058</v>
      </c>
    </row>
    <row r="161" spans="1:6" x14ac:dyDescent="0.25">
      <c r="A161" t="s">
        <v>1678</v>
      </c>
      <c r="B161" t="str">
        <f>"03077100      "</f>
        <v xml:space="preserve">03077100      </v>
      </c>
      <c r="C161" t="s">
        <v>2049</v>
      </c>
      <c r="D161" t="s">
        <v>2049</v>
      </c>
      <c r="E161" t="s">
        <v>2059</v>
      </c>
      <c r="F161" t="s">
        <v>2060</v>
      </c>
    </row>
    <row r="162" spans="1:6" x14ac:dyDescent="0.25">
      <c r="A162" t="s">
        <v>1678</v>
      </c>
      <c r="B162" t="str">
        <f>"03077210      "</f>
        <v xml:space="preserve">03077210      </v>
      </c>
      <c r="C162" t="s">
        <v>2061</v>
      </c>
      <c r="D162" t="s">
        <v>2061</v>
      </c>
      <c r="E162" t="s">
        <v>2062</v>
      </c>
      <c r="F162" t="s">
        <v>2063</v>
      </c>
    </row>
    <row r="163" spans="1:6" x14ac:dyDescent="0.25">
      <c r="A163" t="s">
        <v>1678</v>
      </c>
      <c r="B163" t="str">
        <f>"03077290      "</f>
        <v xml:space="preserve">03077290      </v>
      </c>
      <c r="C163" t="s">
        <v>16</v>
      </c>
      <c r="D163" t="s">
        <v>16</v>
      </c>
      <c r="E163" t="s">
        <v>2064</v>
      </c>
      <c r="F163" t="s">
        <v>2065</v>
      </c>
    </row>
    <row r="164" spans="1:6" x14ac:dyDescent="0.25">
      <c r="A164" t="s">
        <v>1678</v>
      </c>
      <c r="B164" t="str">
        <f>"03077900      "</f>
        <v xml:space="preserve">03077900      </v>
      </c>
      <c r="C164" t="s">
        <v>16</v>
      </c>
      <c r="D164" t="s">
        <v>16</v>
      </c>
      <c r="E164" t="s">
        <v>2066</v>
      </c>
      <c r="F164" t="s">
        <v>2067</v>
      </c>
    </row>
    <row r="165" spans="1:6" x14ac:dyDescent="0.25">
      <c r="A165" t="s">
        <v>1678</v>
      </c>
      <c r="B165" t="str">
        <f>"03078100      "</f>
        <v xml:space="preserve">03078100      </v>
      </c>
      <c r="C165" t="s">
        <v>2068</v>
      </c>
      <c r="D165" t="s">
        <v>2068</v>
      </c>
      <c r="E165" t="s">
        <v>2069</v>
      </c>
      <c r="F165" t="s">
        <v>2070</v>
      </c>
    </row>
    <row r="166" spans="1:6" x14ac:dyDescent="0.25">
      <c r="A166" t="s">
        <v>1678</v>
      </c>
      <c r="B166" t="str">
        <f>"03078200      "</f>
        <v xml:space="preserve">03078200      </v>
      </c>
      <c r="C166" t="s">
        <v>2071</v>
      </c>
      <c r="D166" t="s">
        <v>2071</v>
      </c>
      <c r="E166" t="s">
        <v>2072</v>
      </c>
      <c r="F166" t="s">
        <v>2073</v>
      </c>
    </row>
    <row r="167" spans="1:6" x14ac:dyDescent="0.25">
      <c r="A167" t="s">
        <v>1678</v>
      </c>
      <c r="B167" t="str">
        <f>"03078300      "</f>
        <v xml:space="preserve">03078300      </v>
      </c>
      <c r="C167" t="s">
        <v>2074</v>
      </c>
      <c r="D167" t="s">
        <v>2074</v>
      </c>
      <c r="E167" t="s">
        <v>2075</v>
      </c>
      <c r="F167" t="s">
        <v>2076</v>
      </c>
    </row>
    <row r="168" spans="1:6" x14ac:dyDescent="0.25">
      <c r="A168" t="s">
        <v>1678</v>
      </c>
      <c r="B168" t="str">
        <f>"03078400      "</f>
        <v xml:space="preserve">03078400      </v>
      </c>
      <c r="C168" t="s">
        <v>2077</v>
      </c>
      <c r="D168" t="s">
        <v>2077</v>
      </c>
      <c r="E168" t="s">
        <v>2078</v>
      </c>
      <c r="F168" t="s">
        <v>2079</v>
      </c>
    </row>
    <row r="169" spans="1:6" x14ac:dyDescent="0.25">
      <c r="A169" t="s">
        <v>1678</v>
      </c>
      <c r="B169" t="str">
        <f>"03078700      "</f>
        <v xml:space="preserve">03078700      </v>
      </c>
      <c r="C169" t="s">
        <v>2080</v>
      </c>
      <c r="D169" t="s">
        <v>2080</v>
      </c>
      <c r="E169" t="s">
        <v>2081</v>
      </c>
      <c r="F169" t="s">
        <v>2082</v>
      </c>
    </row>
    <row r="170" spans="1:6" x14ac:dyDescent="0.25">
      <c r="A170" t="s">
        <v>1678</v>
      </c>
      <c r="B170" t="str">
        <f>"03078800      "</f>
        <v xml:space="preserve">03078800      </v>
      </c>
      <c r="C170" t="s">
        <v>2083</v>
      </c>
      <c r="D170" t="s">
        <v>2083</v>
      </c>
      <c r="E170" t="s">
        <v>2084</v>
      </c>
      <c r="F170" t="s">
        <v>2085</v>
      </c>
    </row>
    <row r="171" spans="1:6" x14ac:dyDescent="0.25">
      <c r="A171" t="s">
        <v>1678</v>
      </c>
      <c r="B171" t="str">
        <f>"03079100      "</f>
        <v xml:space="preserve">03079100      </v>
      </c>
      <c r="C171" t="s">
        <v>2049</v>
      </c>
      <c r="D171" t="s">
        <v>2049</v>
      </c>
      <c r="E171" t="s">
        <v>2086</v>
      </c>
      <c r="F171" t="s">
        <v>2087</v>
      </c>
    </row>
    <row r="172" spans="1:6" x14ac:dyDescent="0.25">
      <c r="A172" t="s">
        <v>1678</v>
      </c>
      <c r="B172" t="str">
        <f>"03079200      "</f>
        <v xml:space="preserve">03079200      </v>
      </c>
      <c r="C172" t="s">
        <v>1971</v>
      </c>
      <c r="D172" t="s">
        <v>1971</v>
      </c>
      <c r="E172" t="s">
        <v>2088</v>
      </c>
      <c r="F172" t="s">
        <v>2089</v>
      </c>
    </row>
    <row r="173" spans="1:6" x14ac:dyDescent="0.25">
      <c r="A173" t="s">
        <v>1678</v>
      </c>
      <c r="B173" t="str">
        <f>"03079900      "</f>
        <v xml:space="preserve">03079900      </v>
      </c>
      <c r="C173" t="s">
        <v>16</v>
      </c>
      <c r="D173" t="s">
        <v>16</v>
      </c>
      <c r="E173" t="s">
        <v>2090</v>
      </c>
      <c r="F173" t="s">
        <v>2091</v>
      </c>
    </row>
    <row r="174" spans="1:6" x14ac:dyDescent="0.25">
      <c r="A174" t="s">
        <v>1678</v>
      </c>
      <c r="B174" t="str">
        <f>"03081100      "</f>
        <v xml:space="preserve">03081100      </v>
      </c>
      <c r="C174" t="s">
        <v>2049</v>
      </c>
      <c r="D174" t="s">
        <v>2049</v>
      </c>
      <c r="E174" t="s">
        <v>2092</v>
      </c>
      <c r="F174" t="s">
        <v>2093</v>
      </c>
    </row>
    <row r="175" spans="1:6" x14ac:dyDescent="0.25">
      <c r="A175" t="s">
        <v>1678</v>
      </c>
      <c r="B175" t="str">
        <f>"03081200      "</f>
        <v xml:space="preserve">03081200      </v>
      </c>
      <c r="C175" t="s">
        <v>1971</v>
      </c>
      <c r="D175" t="s">
        <v>1971</v>
      </c>
      <c r="E175" t="s">
        <v>2094</v>
      </c>
      <c r="F175" t="s">
        <v>2095</v>
      </c>
    </row>
    <row r="176" spans="1:6" x14ac:dyDescent="0.25">
      <c r="A176" t="s">
        <v>1678</v>
      </c>
      <c r="B176" t="str">
        <f>"03081900      "</f>
        <v xml:space="preserve">03081900      </v>
      </c>
      <c r="C176" t="s">
        <v>16</v>
      </c>
      <c r="D176" t="s">
        <v>16</v>
      </c>
      <c r="E176" t="s">
        <v>2096</v>
      </c>
      <c r="F176" t="s">
        <v>2097</v>
      </c>
    </row>
    <row r="177" spans="1:6" x14ac:dyDescent="0.25">
      <c r="A177" t="s">
        <v>1678</v>
      </c>
      <c r="B177" t="str">
        <f>"03082100      "</f>
        <v xml:space="preserve">03082100      </v>
      </c>
      <c r="C177" t="s">
        <v>2049</v>
      </c>
      <c r="D177" t="s">
        <v>2049</v>
      </c>
      <c r="E177" t="s">
        <v>2098</v>
      </c>
      <c r="F177" t="s">
        <v>2099</v>
      </c>
    </row>
    <row r="178" spans="1:6" x14ac:dyDescent="0.25">
      <c r="A178" t="s">
        <v>1678</v>
      </c>
      <c r="B178" t="str">
        <f>"03082200      "</f>
        <v xml:space="preserve">03082200      </v>
      </c>
      <c r="C178" t="s">
        <v>1971</v>
      </c>
      <c r="D178" t="s">
        <v>1971</v>
      </c>
      <c r="E178" t="s">
        <v>2100</v>
      </c>
      <c r="F178" t="s">
        <v>2101</v>
      </c>
    </row>
    <row r="179" spans="1:6" x14ac:dyDescent="0.25">
      <c r="A179" t="s">
        <v>1678</v>
      </c>
      <c r="B179" t="str">
        <f>"03082900      "</f>
        <v xml:space="preserve">03082900      </v>
      </c>
      <c r="C179" t="s">
        <v>16</v>
      </c>
      <c r="D179" t="s">
        <v>16</v>
      </c>
      <c r="E179" t="s">
        <v>2102</v>
      </c>
      <c r="F179" t="s">
        <v>2103</v>
      </c>
    </row>
    <row r="180" spans="1:6" x14ac:dyDescent="0.25">
      <c r="A180" t="s">
        <v>1678</v>
      </c>
      <c r="B180" t="str">
        <f>"03083050      "</f>
        <v xml:space="preserve">03083050      </v>
      </c>
      <c r="C180" t="s">
        <v>1971</v>
      </c>
      <c r="D180" t="s">
        <v>1971</v>
      </c>
      <c r="E180" t="s">
        <v>2104</v>
      </c>
      <c r="F180" t="s">
        <v>2105</v>
      </c>
    </row>
    <row r="181" spans="1:6" x14ac:dyDescent="0.25">
      <c r="A181" t="s">
        <v>1678</v>
      </c>
      <c r="B181" t="str">
        <f>"03083080      "</f>
        <v xml:space="preserve">03083080      </v>
      </c>
      <c r="C181" t="s">
        <v>16</v>
      </c>
      <c r="D181" t="s">
        <v>16</v>
      </c>
      <c r="E181" t="s">
        <v>2106</v>
      </c>
      <c r="F181" t="s">
        <v>2107</v>
      </c>
    </row>
    <row r="182" spans="1:6" x14ac:dyDescent="0.25">
      <c r="A182" t="s">
        <v>1678</v>
      </c>
      <c r="B182" t="str">
        <f>"03089010      "</f>
        <v xml:space="preserve">03089010      </v>
      </c>
      <c r="C182" t="s">
        <v>2049</v>
      </c>
      <c r="D182" t="s">
        <v>2049</v>
      </c>
      <c r="E182" t="s">
        <v>2108</v>
      </c>
      <c r="F182" t="s">
        <v>2109</v>
      </c>
    </row>
    <row r="183" spans="1:6" x14ac:dyDescent="0.25">
      <c r="A183" t="s">
        <v>1678</v>
      </c>
      <c r="B183" t="str">
        <f>"03089050      "</f>
        <v xml:space="preserve">03089050      </v>
      </c>
      <c r="C183" t="s">
        <v>1971</v>
      </c>
      <c r="D183" t="s">
        <v>1971</v>
      </c>
      <c r="E183" t="s">
        <v>2110</v>
      </c>
      <c r="F183" t="s">
        <v>2111</v>
      </c>
    </row>
    <row r="184" spans="1:6" x14ac:dyDescent="0.25">
      <c r="A184" t="s">
        <v>1678</v>
      </c>
      <c r="B184" t="str">
        <f>"03089090      "</f>
        <v xml:space="preserve">03089090      </v>
      </c>
      <c r="C184" t="s">
        <v>16</v>
      </c>
      <c r="D184" t="s">
        <v>16</v>
      </c>
      <c r="E184" t="s">
        <v>2112</v>
      </c>
      <c r="F184" t="s">
        <v>2113</v>
      </c>
    </row>
    <row r="185" spans="1:6" x14ac:dyDescent="0.25">
      <c r="A185" t="s">
        <v>1678</v>
      </c>
      <c r="B185" t="str">
        <f>"04039011      "</f>
        <v xml:space="preserve">04039011      </v>
      </c>
      <c r="C185" t="s">
        <v>2114</v>
      </c>
      <c r="D185" t="s">
        <v>2114</v>
      </c>
      <c r="E185" t="s">
        <v>2115</v>
      </c>
      <c r="F185" t="s">
        <v>2116</v>
      </c>
    </row>
    <row r="186" spans="1:6" x14ac:dyDescent="0.25">
      <c r="A186" t="s">
        <v>1678</v>
      </c>
      <c r="B186" t="str">
        <f>"04039013      "</f>
        <v xml:space="preserve">04039013      </v>
      </c>
      <c r="C186" t="s">
        <v>2117</v>
      </c>
      <c r="D186" t="s">
        <v>2117</v>
      </c>
      <c r="E186" t="s">
        <v>2118</v>
      </c>
      <c r="F186" t="s">
        <v>2119</v>
      </c>
    </row>
    <row r="187" spans="1:6" x14ac:dyDescent="0.25">
      <c r="A187" t="s">
        <v>1678</v>
      </c>
      <c r="B187" t="str">
        <f>"04039019      "</f>
        <v xml:space="preserve">04039019      </v>
      </c>
      <c r="C187" t="s">
        <v>2120</v>
      </c>
      <c r="D187" t="s">
        <v>2120</v>
      </c>
      <c r="E187" t="s">
        <v>2121</v>
      </c>
      <c r="F187" t="s">
        <v>2122</v>
      </c>
    </row>
    <row r="188" spans="1:6" x14ac:dyDescent="0.25">
      <c r="A188" t="s">
        <v>1678</v>
      </c>
      <c r="B188" t="str">
        <f>"04039031      "</f>
        <v xml:space="preserve">04039031      </v>
      </c>
      <c r="C188" t="s">
        <v>2114</v>
      </c>
      <c r="D188" t="s">
        <v>2114</v>
      </c>
      <c r="E188" t="s">
        <v>2123</v>
      </c>
      <c r="F188" t="s">
        <v>2124</v>
      </c>
    </row>
    <row r="189" spans="1:6" x14ac:dyDescent="0.25">
      <c r="A189" t="s">
        <v>1678</v>
      </c>
      <c r="B189" t="str">
        <f>"04039033      "</f>
        <v xml:space="preserve">04039033      </v>
      </c>
      <c r="C189" t="s">
        <v>2117</v>
      </c>
      <c r="D189" t="s">
        <v>2117</v>
      </c>
      <c r="E189" t="s">
        <v>2125</v>
      </c>
      <c r="F189" t="s">
        <v>2126</v>
      </c>
    </row>
    <row r="190" spans="1:6" x14ac:dyDescent="0.25">
      <c r="A190" t="s">
        <v>1678</v>
      </c>
      <c r="B190" t="str">
        <f>"04039039      "</f>
        <v xml:space="preserve">04039039      </v>
      </c>
      <c r="C190" t="s">
        <v>2120</v>
      </c>
      <c r="D190" t="s">
        <v>2120</v>
      </c>
      <c r="E190" t="s">
        <v>2127</v>
      </c>
      <c r="F190" t="s">
        <v>2128</v>
      </c>
    </row>
    <row r="191" spans="1:6" x14ac:dyDescent="0.25">
      <c r="A191" t="s">
        <v>1678</v>
      </c>
      <c r="B191" t="str">
        <f>"04039051      "</f>
        <v xml:space="preserve">04039051      </v>
      </c>
      <c r="C191" t="s">
        <v>2129</v>
      </c>
      <c r="D191" t="s">
        <v>2129</v>
      </c>
      <c r="E191" t="s">
        <v>2130</v>
      </c>
      <c r="F191" t="s">
        <v>2131</v>
      </c>
    </row>
    <row r="192" spans="1:6" x14ac:dyDescent="0.25">
      <c r="A192" t="s">
        <v>1678</v>
      </c>
      <c r="B192" t="str">
        <f>"04039053      "</f>
        <v xml:space="preserve">04039053      </v>
      </c>
      <c r="C192" t="s">
        <v>2132</v>
      </c>
      <c r="D192" t="s">
        <v>2132</v>
      </c>
      <c r="E192" t="s">
        <v>2133</v>
      </c>
      <c r="F192" t="s">
        <v>2134</v>
      </c>
    </row>
    <row r="193" spans="1:6" x14ac:dyDescent="0.25">
      <c r="A193" t="s">
        <v>1678</v>
      </c>
      <c r="B193" t="str">
        <f>"04039059      "</f>
        <v xml:space="preserve">04039059      </v>
      </c>
      <c r="C193" t="s">
        <v>2135</v>
      </c>
      <c r="D193" t="s">
        <v>2135</v>
      </c>
      <c r="E193" t="s">
        <v>2136</v>
      </c>
      <c r="F193" t="s">
        <v>2137</v>
      </c>
    </row>
    <row r="194" spans="1:6" x14ac:dyDescent="0.25">
      <c r="A194" t="s">
        <v>1678</v>
      </c>
      <c r="B194" t="str">
        <f>"04039061      "</f>
        <v xml:space="preserve">04039061      </v>
      </c>
      <c r="C194" t="s">
        <v>2129</v>
      </c>
      <c r="D194" t="s">
        <v>2129</v>
      </c>
      <c r="E194" t="s">
        <v>2138</v>
      </c>
      <c r="F194" t="s">
        <v>2139</v>
      </c>
    </row>
    <row r="195" spans="1:6" x14ac:dyDescent="0.25">
      <c r="A195" t="s">
        <v>1678</v>
      </c>
      <c r="B195" t="str">
        <f>"04039063      "</f>
        <v xml:space="preserve">04039063      </v>
      </c>
      <c r="C195" t="s">
        <v>2132</v>
      </c>
      <c r="D195" t="s">
        <v>2132</v>
      </c>
      <c r="E195" t="s">
        <v>2140</v>
      </c>
      <c r="F195" t="s">
        <v>2141</v>
      </c>
    </row>
    <row r="196" spans="1:6" x14ac:dyDescent="0.25">
      <c r="A196" t="s">
        <v>1678</v>
      </c>
      <c r="B196" t="str">
        <f>"04039069      "</f>
        <v xml:space="preserve">04039069      </v>
      </c>
      <c r="C196" t="s">
        <v>2135</v>
      </c>
      <c r="D196" t="s">
        <v>2135</v>
      </c>
      <c r="E196" t="s">
        <v>2142</v>
      </c>
      <c r="F196" t="s">
        <v>2143</v>
      </c>
    </row>
    <row r="197" spans="1:6" x14ac:dyDescent="0.25">
      <c r="A197" t="s">
        <v>1678</v>
      </c>
      <c r="B197" t="str">
        <f>"04039071      "</f>
        <v xml:space="preserve">04039071      </v>
      </c>
      <c r="C197" t="s">
        <v>2114</v>
      </c>
      <c r="D197" t="s">
        <v>2114</v>
      </c>
      <c r="E197" t="s">
        <v>2144</v>
      </c>
      <c r="F197" t="s">
        <v>2145</v>
      </c>
    </row>
    <row r="198" spans="1:6" x14ac:dyDescent="0.25">
      <c r="A198" t="s">
        <v>1678</v>
      </c>
      <c r="B198" t="str">
        <f>"04039073      "</f>
        <v xml:space="preserve">04039073      </v>
      </c>
      <c r="C198" t="s">
        <v>2117</v>
      </c>
      <c r="D198" t="s">
        <v>2117</v>
      </c>
      <c r="E198" t="s">
        <v>2146</v>
      </c>
      <c r="F198" t="s">
        <v>2147</v>
      </c>
    </row>
    <row r="199" spans="1:6" x14ac:dyDescent="0.25">
      <c r="A199" t="s">
        <v>1678</v>
      </c>
      <c r="B199" t="str">
        <f>"04039079      "</f>
        <v xml:space="preserve">04039079      </v>
      </c>
      <c r="C199" t="s">
        <v>2120</v>
      </c>
      <c r="D199" t="s">
        <v>2120</v>
      </c>
      <c r="E199" t="s">
        <v>2148</v>
      </c>
      <c r="F199" t="s">
        <v>2149</v>
      </c>
    </row>
    <row r="200" spans="1:6" x14ac:dyDescent="0.25">
      <c r="A200" t="s">
        <v>1678</v>
      </c>
      <c r="B200" t="str">
        <f>"04039091      "</f>
        <v xml:space="preserve">04039091      </v>
      </c>
      <c r="C200" t="s">
        <v>2129</v>
      </c>
      <c r="D200" t="s">
        <v>2129</v>
      </c>
      <c r="E200" t="s">
        <v>2150</v>
      </c>
      <c r="F200" t="s">
        <v>2151</v>
      </c>
    </row>
    <row r="201" spans="1:6" x14ac:dyDescent="0.25">
      <c r="A201" t="s">
        <v>1678</v>
      </c>
      <c r="B201" t="str">
        <f>"04039093      "</f>
        <v xml:space="preserve">04039093      </v>
      </c>
      <c r="C201" t="s">
        <v>2132</v>
      </c>
      <c r="D201" t="s">
        <v>2132</v>
      </c>
      <c r="E201" t="s">
        <v>2152</v>
      </c>
      <c r="F201" t="s">
        <v>2153</v>
      </c>
    </row>
    <row r="202" spans="1:6" x14ac:dyDescent="0.25">
      <c r="A202" t="s">
        <v>1678</v>
      </c>
      <c r="B202" t="str">
        <f>"04039099      "</f>
        <v xml:space="preserve">04039099      </v>
      </c>
      <c r="C202" t="s">
        <v>2135</v>
      </c>
      <c r="D202" t="s">
        <v>2135</v>
      </c>
      <c r="E202" t="s">
        <v>2154</v>
      </c>
      <c r="F202" t="s">
        <v>2155</v>
      </c>
    </row>
    <row r="203" spans="1:6" x14ac:dyDescent="0.25">
      <c r="A203" t="s">
        <v>1678</v>
      </c>
      <c r="B203" t="str">
        <f>"07112010      "</f>
        <v xml:space="preserve">07112010      </v>
      </c>
      <c r="C203" t="s">
        <v>2156</v>
      </c>
      <c r="D203" t="s">
        <v>2156</v>
      </c>
      <c r="E203" t="s">
        <v>2157</v>
      </c>
      <c r="F203" t="s">
        <v>2158</v>
      </c>
    </row>
    <row r="204" spans="1:6" x14ac:dyDescent="0.25">
      <c r="A204" t="s">
        <v>1678</v>
      </c>
      <c r="B204" t="str">
        <f>"07112090      "</f>
        <v xml:space="preserve">07112090      </v>
      </c>
      <c r="C204" t="s">
        <v>16</v>
      </c>
      <c r="D204" t="s">
        <v>16</v>
      </c>
      <c r="E204" t="s">
        <v>2159</v>
      </c>
      <c r="F204" t="s">
        <v>2160</v>
      </c>
    </row>
    <row r="205" spans="1:6" x14ac:dyDescent="0.25">
      <c r="A205" t="s">
        <v>1678</v>
      </c>
      <c r="B205" t="str">
        <f>"07114000      "</f>
        <v xml:space="preserve">07114000      </v>
      </c>
      <c r="C205" t="s">
        <v>2161</v>
      </c>
      <c r="D205" t="s">
        <v>2161</v>
      </c>
      <c r="E205" t="s">
        <v>2162</v>
      </c>
      <c r="F205" t="s">
        <v>2163</v>
      </c>
    </row>
    <row r="206" spans="1:6" x14ac:dyDescent="0.25">
      <c r="A206" t="s">
        <v>1678</v>
      </c>
      <c r="B206" t="str">
        <f>"07115100      "</f>
        <v xml:space="preserve">07115100      </v>
      </c>
      <c r="C206" t="s">
        <v>2164</v>
      </c>
      <c r="D206" t="s">
        <v>2164</v>
      </c>
      <c r="E206" t="s">
        <v>2165</v>
      </c>
      <c r="F206" t="s">
        <v>2166</v>
      </c>
    </row>
    <row r="207" spans="1:6" x14ac:dyDescent="0.25">
      <c r="A207" t="s">
        <v>1678</v>
      </c>
      <c r="B207" t="str">
        <f>"07115900      "</f>
        <v xml:space="preserve">07115900      </v>
      </c>
      <c r="C207" t="s">
        <v>16</v>
      </c>
      <c r="D207" t="s">
        <v>16</v>
      </c>
      <c r="E207" t="s">
        <v>2167</v>
      </c>
      <c r="F207" t="s">
        <v>2168</v>
      </c>
    </row>
    <row r="208" spans="1:6" x14ac:dyDescent="0.25">
      <c r="A208" t="s">
        <v>1678</v>
      </c>
      <c r="B208" t="str">
        <f>"07119010      "</f>
        <v xml:space="preserve">07119010      </v>
      </c>
      <c r="C208" t="s">
        <v>2169</v>
      </c>
      <c r="D208" t="s">
        <v>2169</v>
      </c>
      <c r="E208" t="s">
        <v>2170</v>
      </c>
      <c r="F208" t="s">
        <v>2171</v>
      </c>
    </row>
    <row r="209" spans="1:6" x14ac:dyDescent="0.25">
      <c r="A209" t="s">
        <v>1678</v>
      </c>
      <c r="B209" t="str">
        <f>"07119030      "</f>
        <v xml:space="preserve">07119030      </v>
      </c>
      <c r="C209" t="s">
        <v>2172</v>
      </c>
      <c r="D209" t="s">
        <v>2172</v>
      </c>
      <c r="E209" t="s">
        <v>2173</v>
      </c>
      <c r="F209" t="s">
        <v>2174</v>
      </c>
    </row>
    <row r="210" spans="1:6" x14ac:dyDescent="0.25">
      <c r="A210" t="s">
        <v>1678</v>
      </c>
      <c r="B210" t="str">
        <f>"07119050      "</f>
        <v xml:space="preserve">07119050      </v>
      </c>
      <c r="C210" t="s">
        <v>2175</v>
      </c>
      <c r="D210" t="s">
        <v>2175</v>
      </c>
      <c r="E210" t="s">
        <v>2176</v>
      </c>
      <c r="F210" t="s">
        <v>2177</v>
      </c>
    </row>
    <row r="211" spans="1:6" x14ac:dyDescent="0.25">
      <c r="A211" t="s">
        <v>1678</v>
      </c>
      <c r="B211" t="str">
        <f>"07119070      "</f>
        <v xml:space="preserve">07119070      </v>
      </c>
      <c r="C211" t="s">
        <v>2178</v>
      </c>
      <c r="D211" t="s">
        <v>2178</v>
      </c>
      <c r="E211" t="s">
        <v>2179</v>
      </c>
      <c r="F211" t="s">
        <v>2180</v>
      </c>
    </row>
    <row r="212" spans="1:6" x14ac:dyDescent="0.25">
      <c r="A212" t="s">
        <v>1678</v>
      </c>
      <c r="B212" t="str">
        <f>"07119080      "</f>
        <v xml:space="preserve">07119080      </v>
      </c>
      <c r="C212" t="s">
        <v>16</v>
      </c>
      <c r="D212" t="s">
        <v>16</v>
      </c>
      <c r="E212" t="s">
        <v>2181</v>
      </c>
      <c r="F212" t="s">
        <v>2182</v>
      </c>
    </row>
    <row r="213" spans="1:6" x14ac:dyDescent="0.25">
      <c r="A213" t="s">
        <v>1678</v>
      </c>
      <c r="B213" t="str">
        <f>"07119090      "</f>
        <v xml:space="preserve">07119090      </v>
      </c>
      <c r="C213" t="s">
        <v>2183</v>
      </c>
      <c r="D213" t="s">
        <v>2183</v>
      </c>
      <c r="E213" t="s">
        <v>2184</v>
      </c>
      <c r="F213" t="s">
        <v>2185</v>
      </c>
    </row>
    <row r="214" spans="1:6" x14ac:dyDescent="0.25">
      <c r="A214" t="s">
        <v>1678</v>
      </c>
      <c r="B214" t="str">
        <f>"08054000      "</f>
        <v xml:space="preserve">08054000      </v>
      </c>
      <c r="C214" t="s">
        <v>2186</v>
      </c>
      <c r="D214" t="s">
        <v>2187</v>
      </c>
      <c r="E214" t="s">
        <v>2188</v>
      </c>
      <c r="F214" t="s">
        <v>2189</v>
      </c>
    </row>
    <row r="215" spans="1:6" x14ac:dyDescent="0.25">
      <c r="A215" t="s">
        <v>1678</v>
      </c>
      <c r="B215" t="str">
        <f>"08121000      "</f>
        <v xml:space="preserve">08121000      </v>
      </c>
      <c r="C215" t="s">
        <v>2190</v>
      </c>
      <c r="D215" t="s">
        <v>2190</v>
      </c>
      <c r="E215" t="s">
        <v>2191</v>
      </c>
      <c r="F215" t="s">
        <v>2192</v>
      </c>
    </row>
    <row r="216" spans="1:6" x14ac:dyDescent="0.25">
      <c r="A216" t="s">
        <v>1678</v>
      </c>
      <c r="B216" t="str">
        <f>"08129025      "</f>
        <v xml:space="preserve">08129025      </v>
      </c>
      <c r="C216" t="s">
        <v>2193</v>
      </c>
      <c r="D216" t="s">
        <v>2193</v>
      </c>
      <c r="E216" t="s">
        <v>2194</v>
      </c>
      <c r="F216" t="s">
        <v>2195</v>
      </c>
    </row>
    <row r="217" spans="1:6" x14ac:dyDescent="0.25">
      <c r="A217" t="s">
        <v>1678</v>
      </c>
      <c r="B217" t="str">
        <f>"08129030      "</f>
        <v xml:space="preserve">08129030      </v>
      </c>
      <c r="C217" t="s">
        <v>2196</v>
      </c>
      <c r="D217" t="s">
        <v>2196</v>
      </c>
      <c r="E217" t="s">
        <v>2197</v>
      </c>
      <c r="F217" t="s">
        <v>2198</v>
      </c>
    </row>
    <row r="218" spans="1:6" x14ac:dyDescent="0.25">
      <c r="A218" t="s">
        <v>1678</v>
      </c>
      <c r="B218" t="str">
        <f>"08129040      "</f>
        <v xml:space="preserve">08129040      </v>
      </c>
      <c r="C218" t="s">
        <v>2199</v>
      </c>
      <c r="D218" t="s">
        <v>2199</v>
      </c>
      <c r="E218" t="s">
        <v>2200</v>
      </c>
      <c r="F218" t="s">
        <v>2201</v>
      </c>
    </row>
    <row r="219" spans="1:6" x14ac:dyDescent="0.25">
      <c r="A219" t="s">
        <v>1678</v>
      </c>
      <c r="B219" t="str">
        <f>"08129070      "</f>
        <v xml:space="preserve">08129070      </v>
      </c>
      <c r="C219" t="s">
        <v>2202</v>
      </c>
      <c r="D219" t="s">
        <v>2202</v>
      </c>
      <c r="E219" t="s">
        <v>2203</v>
      </c>
      <c r="F219" t="s">
        <v>2204</v>
      </c>
    </row>
    <row r="220" spans="1:6" x14ac:dyDescent="0.25">
      <c r="A220" t="s">
        <v>1678</v>
      </c>
      <c r="B220" t="str">
        <f>"08129098      "</f>
        <v xml:space="preserve">08129098      </v>
      </c>
      <c r="C220" t="s">
        <v>16</v>
      </c>
      <c r="D220" t="s">
        <v>16</v>
      </c>
      <c r="E220" t="s">
        <v>2205</v>
      </c>
      <c r="F220" t="s">
        <v>2206</v>
      </c>
    </row>
    <row r="221" spans="1:6" x14ac:dyDescent="0.25">
      <c r="A221" t="s">
        <v>1678</v>
      </c>
      <c r="B221" t="str">
        <f>"15011010      "</f>
        <v xml:space="preserve">15011010      </v>
      </c>
      <c r="C221" t="s">
        <v>2207</v>
      </c>
      <c r="D221" t="s">
        <v>2207</v>
      </c>
      <c r="E221" t="s">
        <v>2208</v>
      </c>
      <c r="F221" t="s">
        <v>2209</v>
      </c>
    </row>
    <row r="222" spans="1:6" x14ac:dyDescent="0.25">
      <c r="A222" t="s">
        <v>1678</v>
      </c>
      <c r="B222" t="str">
        <f>"15011090      "</f>
        <v xml:space="preserve">15011090      </v>
      </c>
      <c r="C222" t="s">
        <v>16</v>
      </c>
      <c r="D222" t="s">
        <v>16</v>
      </c>
      <c r="E222" t="s">
        <v>2210</v>
      </c>
      <c r="F222" t="s">
        <v>2211</v>
      </c>
    </row>
    <row r="223" spans="1:6" x14ac:dyDescent="0.25">
      <c r="A223" t="s">
        <v>1678</v>
      </c>
      <c r="B223" t="str">
        <f>"15012010      "</f>
        <v xml:space="preserve">15012010      </v>
      </c>
      <c r="C223" t="s">
        <v>2207</v>
      </c>
      <c r="D223" t="s">
        <v>2207</v>
      </c>
      <c r="E223" t="s">
        <v>2212</v>
      </c>
      <c r="F223" t="s">
        <v>2213</v>
      </c>
    </row>
    <row r="224" spans="1:6" x14ac:dyDescent="0.25">
      <c r="A224" t="s">
        <v>1678</v>
      </c>
      <c r="B224" t="str">
        <f>"15012090      "</f>
        <v xml:space="preserve">15012090      </v>
      </c>
      <c r="C224" t="s">
        <v>16</v>
      </c>
      <c r="D224" t="s">
        <v>16</v>
      </c>
      <c r="E224" t="s">
        <v>2214</v>
      </c>
      <c r="F224" t="s">
        <v>2215</v>
      </c>
    </row>
    <row r="225" spans="1:6" x14ac:dyDescent="0.25">
      <c r="A225" t="s">
        <v>1678</v>
      </c>
      <c r="B225" t="str">
        <f>"15019000      "</f>
        <v xml:space="preserve">15019000      </v>
      </c>
      <c r="C225" t="s">
        <v>16</v>
      </c>
      <c r="D225" t="s">
        <v>16</v>
      </c>
      <c r="E225" t="s">
        <v>2216</v>
      </c>
      <c r="F225" t="s">
        <v>2217</v>
      </c>
    </row>
    <row r="226" spans="1:6" x14ac:dyDescent="0.25">
      <c r="A226" t="s">
        <v>1678</v>
      </c>
      <c r="B226" t="str">
        <f>"15021010      "</f>
        <v xml:space="preserve">15021010      </v>
      </c>
      <c r="C226" t="s">
        <v>2207</v>
      </c>
      <c r="D226" t="s">
        <v>2207</v>
      </c>
      <c r="E226" t="s">
        <v>2218</v>
      </c>
      <c r="F226" t="s">
        <v>2219</v>
      </c>
    </row>
    <row r="227" spans="1:6" x14ac:dyDescent="0.25">
      <c r="A227" t="s">
        <v>1678</v>
      </c>
      <c r="B227" t="str">
        <f>"15021090      "</f>
        <v xml:space="preserve">15021090      </v>
      </c>
      <c r="C227" t="s">
        <v>16</v>
      </c>
      <c r="D227" t="s">
        <v>16</v>
      </c>
      <c r="E227" t="s">
        <v>2220</v>
      </c>
      <c r="F227" t="s">
        <v>2221</v>
      </c>
    </row>
    <row r="228" spans="1:6" x14ac:dyDescent="0.25">
      <c r="A228" t="s">
        <v>1678</v>
      </c>
      <c r="B228" t="str">
        <f>"15029010      "</f>
        <v xml:space="preserve">15029010      </v>
      </c>
      <c r="C228" t="s">
        <v>2207</v>
      </c>
      <c r="D228" t="s">
        <v>2207</v>
      </c>
      <c r="E228" t="s">
        <v>2222</v>
      </c>
      <c r="F228" t="s">
        <v>2223</v>
      </c>
    </row>
    <row r="229" spans="1:6" x14ac:dyDescent="0.25">
      <c r="A229" t="s">
        <v>1678</v>
      </c>
      <c r="B229" t="str">
        <f>"15029090      "</f>
        <v xml:space="preserve">15029090      </v>
      </c>
      <c r="C229" t="s">
        <v>16</v>
      </c>
      <c r="D229" t="s">
        <v>16</v>
      </c>
      <c r="E229" t="s">
        <v>2224</v>
      </c>
      <c r="F229" t="s">
        <v>2225</v>
      </c>
    </row>
    <row r="230" spans="1:6" x14ac:dyDescent="0.25">
      <c r="A230" t="s">
        <v>1678</v>
      </c>
      <c r="B230" t="str">
        <f>"15030011      "</f>
        <v xml:space="preserve">15030011      </v>
      </c>
      <c r="C230" t="s">
        <v>2226</v>
      </c>
      <c r="D230" t="s">
        <v>2226</v>
      </c>
      <c r="E230" t="s">
        <v>2227</v>
      </c>
      <c r="F230" t="s">
        <v>2228</v>
      </c>
    </row>
    <row r="231" spans="1:6" x14ac:dyDescent="0.25">
      <c r="A231" t="s">
        <v>1678</v>
      </c>
      <c r="B231" t="str">
        <f>"15030019      "</f>
        <v xml:space="preserve">15030019      </v>
      </c>
      <c r="C231" t="s">
        <v>16</v>
      </c>
      <c r="D231" t="s">
        <v>16</v>
      </c>
      <c r="E231" t="s">
        <v>2229</v>
      </c>
      <c r="F231" t="s">
        <v>2230</v>
      </c>
    </row>
    <row r="232" spans="1:6" x14ac:dyDescent="0.25">
      <c r="A232" t="s">
        <v>1678</v>
      </c>
      <c r="B232" t="str">
        <f>"15030030      "</f>
        <v xml:space="preserve">15030030      </v>
      </c>
      <c r="C232" t="s">
        <v>2231</v>
      </c>
      <c r="D232" t="s">
        <v>2231</v>
      </c>
      <c r="E232" t="s">
        <v>2232</v>
      </c>
      <c r="F232" t="s">
        <v>2233</v>
      </c>
    </row>
    <row r="233" spans="1:6" x14ac:dyDescent="0.25">
      <c r="A233" t="s">
        <v>1678</v>
      </c>
      <c r="B233" t="str">
        <f>"15030090      "</f>
        <v xml:space="preserve">15030090      </v>
      </c>
      <c r="C233" t="s">
        <v>16</v>
      </c>
      <c r="D233" t="s">
        <v>16</v>
      </c>
      <c r="E233" t="s">
        <v>2234</v>
      </c>
      <c r="F233" t="s">
        <v>2235</v>
      </c>
    </row>
    <row r="234" spans="1:6" x14ac:dyDescent="0.25">
      <c r="A234" t="s">
        <v>1678</v>
      </c>
      <c r="B234" t="str">
        <f>"15041010      "</f>
        <v xml:space="preserve">15041010      </v>
      </c>
      <c r="C234" t="s">
        <v>2236</v>
      </c>
      <c r="D234" t="s">
        <v>2236</v>
      </c>
      <c r="E234" t="s">
        <v>2237</v>
      </c>
      <c r="F234" t="s">
        <v>2238</v>
      </c>
    </row>
    <row r="235" spans="1:6" x14ac:dyDescent="0.25">
      <c r="A235" t="s">
        <v>1678</v>
      </c>
      <c r="B235" t="str">
        <f>"15041091      "</f>
        <v xml:space="preserve">15041091      </v>
      </c>
      <c r="C235" t="s">
        <v>2239</v>
      </c>
      <c r="D235" t="s">
        <v>2239</v>
      </c>
      <c r="E235" t="s">
        <v>2240</v>
      </c>
      <c r="F235" t="s">
        <v>2241</v>
      </c>
    </row>
    <row r="236" spans="1:6" x14ac:dyDescent="0.25">
      <c r="A236" t="s">
        <v>1678</v>
      </c>
      <c r="B236" t="str">
        <f>"15041099      "</f>
        <v xml:space="preserve">15041099      </v>
      </c>
      <c r="C236" t="s">
        <v>16</v>
      </c>
      <c r="D236" t="s">
        <v>16</v>
      </c>
      <c r="E236" t="s">
        <v>2242</v>
      </c>
      <c r="F236" t="s">
        <v>2243</v>
      </c>
    </row>
    <row r="237" spans="1:6" x14ac:dyDescent="0.25">
      <c r="A237" t="s">
        <v>1678</v>
      </c>
      <c r="B237" t="str">
        <f>"15042010      "</f>
        <v xml:space="preserve">15042010      </v>
      </c>
      <c r="C237" t="s">
        <v>2244</v>
      </c>
      <c r="D237" t="s">
        <v>2244</v>
      </c>
      <c r="E237" t="s">
        <v>2245</v>
      </c>
      <c r="F237" t="s">
        <v>2246</v>
      </c>
    </row>
    <row r="238" spans="1:6" x14ac:dyDescent="0.25">
      <c r="A238" t="s">
        <v>1678</v>
      </c>
      <c r="B238" t="str">
        <f>"15042090      "</f>
        <v xml:space="preserve">15042090      </v>
      </c>
      <c r="C238" t="s">
        <v>16</v>
      </c>
      <c r="D238" t="s">
        <v>16</v>
      </c>
      <c r="E238" t="s">
        <v>2247</v>
      </c>
      <c r="F238" t="s">
        <v>2248</v>
      </c>
    </row>
    <row r="239" spans="1:6" x14ac:dyDescent="0.25">
      <c r="A239" t="s">
        <v>1678</v>
      </c>
      <c r="B239" t="str">
        <f>"15043010      "</f>
        <v xml:space="preserve">15043010      </v>
      </c>
      <c r="C239" t="s">
        <v>2244</v>
      </c>
      <c r="D239" t="s">
        <v>2244</v>
      </c>
      <c r="E239" t="s">
        <v>2249</v>
      </c>
      <c r="F239" t="s">
        <v>2250</v>
      </c>
    </row>
    <row r="240" spans="1:6" x14ac:dyDescent="0.25">
      <c r="A240" t="s">
        <v>1678</v>
      </c>
      <c r="B240" t="str">
        <f>"15043090      "</f>
        <v xml:space="preserve">15043090      </v>
      </c>
      <c r="C240" t="s">
        <v>16</v>
      </c>
      <c r="D240" t="s">
        <v>16</v>
      </c>
      <c r="E240" t="s">
        <v>2251</v>
      </c>
      <c r="F240" t="s">
        <v>2252</v>
      </c>
    </row>
    <row r="241" spans="1:6" x14ac:dyDescent="0.25">
      <c r="A241" t="s">
        <v>1678</v>
      </c>
      <c r="B241" t="str">
        <f>"15050010      "</f>
        <v xml:space="preserve">15050010      </v>
      </c>
      <c r="C241" t="s">
        <v>2253</v>
      </c>
      <c r="D241" t="s">
        <v>2253</v>
      </c>
      <c r="E241" t="s">
        <v>2254</v>
      </c>
      <c r="F241" t="s">
        <v>2255</v>
      </c>
    </row>
    <row r="242" spans="1:6" x14ac:dyDescent="0.25">
      <c r="A242" t="s">
        <v>1678</v>
      </c>
      <c r="B242" t="str">
        <f>"15050090      "</f>
        <v xml:space="preserve">15050090      </v>
      </c>
      <c r="C242" t="s">
        <v>16</v>
      </c>
      <c r="D242" t="s">
        <v>16</v>
      </c>
      <c r="E242" t="s">
        <v>2256</v>
      </c>
      <c r="F242" t="s">
        <v>2257</v>
      </c>
    </row>
    <row r="243" spans="1:6" x14ac:dyDescent="0.25">
      <c r="A243" t="s">
        <v>1678</v>
      </c>
      <c r="B243" t="str">
        <f>"15060000      "</f>
        <v xml:space="preserve">15060000      </v>
      </c>
      <c r="C243" t="s">
        <v>2258</v>
      </c>
      <c r="D243" t="s">
        <v>2258</v>
      </c>
      <c r="E243" t="s">
        <v>2259</v>
      </c>
      <c r="F243" t="s">
        <v>2260</v>
      </c>
    </row>
    <row r="244" spans="1:6" x14ac:dyDescent="0.25">
      <c r="A244" t="s">
        <v>1678</v>
      </c>
      <c r="B244" t="str">
        <f>"15071010      "</f>
        <v xml:space="preserve">15071010      </v>
      </c>
      <c r="C244" t="s">
        <v>2261</v>
      </c>
      <c r="D244" t="s">
        <v>2261</v>
      </c>
      <c r="E244" t="s">
        <v>2262</v>
      </c>
      <c r="F244" t="s">
        <v>2263</v>
      </c>
    </row>
    <row r="245" spans="1:6" x14ac:dyDescent="0.25">
      <c r="A245" t="s">
        <v>1678</v>
      </c>
      <c r="B245" t="str">
        <f>"15071090      "</f>
        <v xml:space="preserve">15071090      </v>
      </c>
      <c r="C245" t="s">
        <v>16</v>
      </c>
      <c r="D245" t="s">
        <v>16</v>
      </c>
      <c r="E245" t="s">
        <v>2264</v>
      </c>
      <c r="F245" t="s">
        <v>2265</v>
      </c>
    </row>
    <row r="246" spans="1:6" x14ac:dyDescent="0.25">
      <c r="A246" t="s">
        <v>1678</v>
      </c>
      <c r="B246" t="str">
        <f>"15079010      "</f>
        <v xml:space="preserve">15079010      </v>
      </c>
      <c r="C246" t="s">
        <v>2261</v>
      </c>
      <c r="D246" t="s">
        <v>2261</v>
      </c>
      <c r="E246" t="s">
        <v>2266</v>
      </c>
      <c r="F246" t="s">
        <v>2267</v>
      </c>
    </row>
    <row r="247" spans="1:6" x14ac:dyDescent="0.25">
      <c r="A247" t="s">
        <v>1678</v>
      </c>
      <c r="B247" t="str">
        <f>"15079090      "</f>
        <v xml:space="preserve">15079090      </v>
      </c>
      <c r="C247" t="s">
        <v>16</v>
      </c>
      <c r="D247" t="s">
        <v>16</v>
      </c>
      <c r="E247" t="s">
        <v>2268</v>
      </c>
      <c r="F247" t="s">
        <v>2269</v>
      </c>
    </row>
    <row r="248" spans="1:6" x14ac:dyDescent="0.25">
      <c r="A248" t="s">
        <v>1678</v>
      </c>
      <c r="B248" t="str">
        <f>"15081010      "</f>
        <v xml:space="preserve">15081010      </v>
      </c>
      <c r="C248" t="s">
        <v>2261</v>
      </c>
      <c r="D248" t="s">
        <v>2261</v>
      </c>
      <c r="E248" t="s">
        <v>2270</v>
      </c>
      <c r="F248" t="s">
        <v>2271</v>
      </c>
    </row>
    <row r="249" spans="1:6" x14ac:dyDescent="0.25">
      <c r="A249" t="s">
        <v>1678</v>
      </c>
      <c r="B249" t="str">
        <f>"15081090      "</f>
        <v xml:space="preserve">15081090      </v>
      </c>
      <c r="C249" t="s">
        <v>16</v>
      </c>
      <c r="D249" t="s">
        <v>16</v>
      </c>
      <c r="E249" t="s">
        <v>2272</v>
      </c>
      <c r="F249" t="s">
        <v>2273</v>
      </c>
    </row>
    <row r="250" spans="1:6" x14ac:dyDescent="0.25">
      <c r="A250" t="s">
        <v>1678</v>
      </c>
      <c r="B250" t="str">
        <f>"15089010      "</f>
        <v xml:space="preserve">15089010      </v>
      </c>
      <c r="C250" t="s">
        <v>2261</v>
      </c>
      <c r="D250" t="s">
        <v>2261</v>
      </c>
      <c r="E250" t="s">
        <v>2274</v>
      </c>
      <c r="F250" t="s">
        <v>2275</v>
      </c>
    </row>
    <row r="251" spans="1:6" x14ac:dyDescent="0.25">
      <c r="A251" t="s">
        <v>1678</v>
      </c>
      <c r="B251" t="str">
        <f>"15089090      "</f>
        <v xml:space="preserve">15089090      </v>
      </c>
      <c r="C251" t="s">
        <v>16</v>
      </c>
      <c r="D251" t="s">
        <v>16</v>
      </c>
      <c r="E251" t="s">
        <v>2276</v>
      </c>
      <c r="F251" t="s">
        <v>2277</v>
      </c>
    </row>
    <row r="252" spans="1:6" x14ac:dyDescent="0.25">
      <c r="A252" t="s">
        <v>1678</v>
      </c>
      <c r="B252" t="str">
        <f>"15099000      "</f>
        <v xml:space="preserve">15099000      </v>
      </c>
      <c r="C252" t="s">
        <v>16</v>
      </c>
      <c r="D252" t="s">
        <v>16</v>
      </c>
      <c r="E252" t="s">
        <v>2278</v>
      </c>
      <c r="F252" t="s">
        <v>2279</v>
      </c>
    </row>
    <row r="253" spans="1:6" x14ac:dyDescent="0.25">
      <c r="A253" t="s">
        <v>1678</v>
      </c>
      <c r="B253" t="str">
        <f>"15111010      "</f>
        <v xml:space="preserve">15111010      </v>
      </c>
      <c r="C253" t="s">
        <v>2261</v>
      </c>
      <c r="D253" t="s">
        <v>2261</v>
      </c>
      <c r="E253" t="s">
        <v>2280</v>
      </c>
      <c r="F253" t="s">
        <v>2281</v>
      </c>
    </row>
    <row r="254" spans="1:6" x14ac:dyDescent="0.25">
      <c r="A254" t="s">
        <v>1678</v>
      </c>
      <c r="B254" t="str">
        <f>"15111090      "</f>
        <v xml:space="preserve">15111090      </v>
      </c>
      <c r="C254" t="s">
        <v>16</v>
      </c>
      <c r="D254" t="s">
        <v>16</v>
      </c>
      <c r="E254" t="s">
        <v>2282</v>
      </c>
      <c r="F254" t="s">
        <v>2283</v>
      </c>
    </row>
    <row r="255" spans="1:6" x14ac:dyDescent="0.25">
      <c r="A255" t="s">
        <v>1678</v>
      </c>
      <c r="B255" t="str">
        <f>"15119011      "</f>
        <v xml:space="preserve">15119011      </v>
      </c>
      <c r="C255" t="s">
        <v>158</v>
      </c>
      <c r="D255" t="s">
        <v>158</v>
      </c>
      <c r="E255" t="s">
        <v>2284</v>
      </c>
      <c r="F255" t="s">
        <v>2285</v>
      </c>
    </row>
    <row r="256" spans="1:6" x14ac:dyDescent="0.25">
      <c r="A256" t="s">
        <v>1678</v>
      </c>
      <c r="B256" t="str">
        <f>"15119019      "</f>
        <v xml:space="preserve">15119019      </v>
      </c>
      <c r="C256" t="s">
        <v>16</v>
      </c>
      <c r="D256" t="s">
        <v>16</v>
      </c>
      <c r="E256" t="s">
        <v>2286</v>
      </c>
      <c r="F256" t="s">
        <v>2287</v>
      </c>
    </row>
    <row r="257" spans="1:6" x14ac:dyDescent="0.25">
      <c r="A257" t="s">
        <v>1678</v>
      </c>
      <c r="B257" t="str">
        <f>"15119091      "</f>
        <v xml:space="preserve">15119091      </v>
      </c>
      <c r="C257" t="s">
        <v>2261</v>
      </c>
      <c r="D257" t="s">
        <v>2261</v>
      </c>
      <c r="E257" t="s">
        <v>2288</v>
      </c>
      <c r="F257" t="s">
        <v>2289</v>
      </c>
    </row>
    <row r="258" spans="1:6" x14ac:dyDescent="0.25">
      <c r="A258" t="s">
        <v>1678</v>
      </c>
      <c r="B258" t="str">
        <f>"15119099      "</f>
        <v xml:space="preserve">15119099      </v>
      </c>
      <c r="C258" t="s">
        <v>16</v>
      </c>
      <c r="D258" t="s">
        <v>16</v>
      </c>
      <c r="E258" t="s">
        <v>2290</v>
      </c>
      <c r="F258" t="s">
        <v>2291</v>
      </c>
    </row>
    <row r="259" spans="1:6" x14ac:dyDescent="0.25">
      <c r="A259" t="s">
        <v>1678</v>
      </c>
      <c r="B259" t="str">
        <f>"15121110      "</f>
        <v xml:space="preserve">15121110      </v>
      </c>
      <c r="C259" t="s">
        <v>2261</v>
      </c>
      <c r="D259" t="s">
        <v>2261</v>
      </c>
      <c r="E259" t="s">
        <v>2292</v>
      </c>
      <c r="F259" t="s">
        <v>2293</v>
      </c>
    </row>
    <row r="260" spans="1:6" x14ac:dyDescent="0.25">
      <c r="A260" t="s">
        <v>1678</v>
      </c>
      <c r="B260" t="str">
        <f>"15121191      "</f>
        <v xml:space="preserve">15121191      </v>
      </c>
      <c r="C260" t="s">
        <v>2294</v>
      </c>
      <c r="D260" t="s">
        <v>2294</v>
      </c>
      <c r="E260" t="s">
        <v>2295</v>
      </c>
      <c r="F260" t="s">
        <v>2296</v>
      </c>
    </row>
    <row r="261" spans="1:6" x14ac:dyDescent="0.25">
      <c r="A261" t="s">
        <v>1678</v>
      </c>
      <c r="B261" t="str">
        <f>"15121199      "</f>
        <v xml:space="preserve">15121199      </v>
      </c>
      <c r="C261" t="s">
        <v>2297</v>
      </c>
      <c r="D261" t="s">
        <v>2297</v>
      </c>
      <c r="E261" t="s">
        <v>2298</v>
      </c>
      <c r="F261" t="s">
        <v>2299</v>
      </c>
    </row>
    <row r="262" spans="1:6" x14ac:dyDescent="0.25">
      <c r="A262" t="s">
        <v>1678</v>
      </c>
      <c r="B262" t="str">
        <f>"15121910      "</f>
        <v xml:space="preserve">15121910      </v>
      </c>
      <c r="C262" t="s">
        <v>2261</v>
      </c>
      <c r="D262" t="s">
        <v>2261</v>
      </c>
      <c r="E262" t="s">
        <v>2300</v>
      </c>
      <c r="F262" t="s">
        <v>2301</v>
      </c>
    </row>
    <row r="263" spans="1:6" x14ac:dyDescent="0.25">
      <c r="A263" t="s">
        <v>1678</v>
      </c>
      <c r="B263" t="str">
        <f>"15121990      "</f>
        <v xml:space="preserve">15121990      </v>
      </c>
      <c r="C263" t="s">
        <v>16</v>
      </c>
      <c r="D263" t="s">
        <v>16</v>
      </c>
      <c r="E263" t="s">
        <v>2302</v>
      </c>
      <c r="F263" t="s">
        <v>2303</v>
      </c>
    </row>
    <row r="264" spans="1:6" x14ac:dyDescent="0.25">
      <c r="A264" t="s">
        <v>1678</v>
      </c>
      <c r="B264" t="str">
        <f>"15122110      "</f>
        <v xml:space="preserve">15122110      </v>
      </c>
      <c r="C264" t="s">
        <v>2261</v>
      </c>
      <c r="D264" t="s">
        <v>2261</v>
      </c>
      <c r="E264" t="s">
        <v>2304</v>
      </c>
      <c r="F264" t="s">
        <v>2305</v>
      </c>
    </row>
    <row r="265" spans="1:6" x14ac:dyDescent="0.25">
      <c r="A265" t="s">
        <v>1678</v>
      </c>
      <c r="B265" t="str">
        <f>"15122190      "</f>
        <v xml:space="preserve">15122190      </v>
      </c>
      <c r="C265" t="s">
        <v>16</v>
      </c>
      <c r="D265" t="s">
        <v>16</v>
      </c>
      <c r="E265" t="s">
        <v>2306</v>
      </c>
      <c r="F265" t="s">
        <v>2307</v>
      </c>
    </row>
    <row r="266" spans="1:6" x14ac:dyDescent="0.25">
      <c r="A266" t="s">
        <v>1678</v>
      </c>
      <c r="B266" t="str">
        <f>"15122910      "</f>
        <v xml:space="preserve">15122910      </v>
      </c>
      <c r="C266" t="s">
        <v>2261</v>
      </c>
      <c r="D266" t="s">
        <v>2261</v>
      </c>
      <c r="E266" t="s">
        <v>2308</v>
      </c>
      <c r="F266" t="s">
        <v>2309</v>
      </c>
    </row>
    <row r="267" spans="1:6" x14ac:dyDescent="0.25">
      <c r="A267" t="s">
        <v>1678</v>
      </c>
      <c r="B267" t="str">
        <f>"15122990      "</f>
        <v xml:space="preserve">15122990      </v>
      </c>
      <c r="C267" t="s">
        <v>16</v>
      </c>
      <c r="D267" t="s">
        <v>16</v>
      </c>
      <c r="E267" t="s">
        <v>2310</v>
      </c>
      <c r="F267" t="s">
        <v>2311</v>
      </c>
    </row>
    <row r="268" spans="1:6" x14ac:dyDescent="0.25">
      <c r="A268" t="s">
        <v>1678</v>
      </c>
      <c r="B268" t="str">
        <f>"15131110      "</f>
        <v xml:space="preserve">15131110      </v>
      </c>
      <c r="C268" t="s">
        <v>2261</v>
      </c>
      <c r="D268" t="s">
        <v>2261</v>
      </c>
      <c r="E268" t="s">
        <v>2312</v>
      </c>
      <c r="F268" t="s">
        <v>2313</v>
      </c>
    </row>
    <row r="269" spans="1:6" x14ac:dyDescent="0.25">
      <c r="A269" t="s">
        <v>1678</v>
      </c>
      <c r="B269" t="str">
        <f>"15131191      "</f>
        <v xml:space="preserve">15131191      </v>
      </c>
      <c r="C269" t="s">
        <v>158</v>
      </c>
      <c r="D269" t="s">
        <v>158</v>
      </c>
      <c r="E269" t="s">
        <v>2314</v>
      </c>
      <c r="F269" t="s">
        <v>2315</v>
      </c>
    </row>
    <row r="270" spans="1:6" x14ac:dyDescent="0.25">
      <c r="A270" t="s">
        <v>1678</v>
      </c>
      <c r="B270" t="str">
        <f>"15131199      "</f>
        <v xml:space="preserve">15131199      </v>
      </c>
      <c r="C270" t="s">
        <v>16</v>
      </c>
      <c r="D270" t="s">
        <v>16</v>
      </c>
      <c r="E270" t="s">
        <v>2316</v>
      </c>
      <c r="F270" t="s">
        <v>2317</v>
      </c>
    </row>
    <row r="271" spans="1:6" x14ac:dyDescent="0.25">
      <c r="A271" t="s">
        <v>1678</v>
      </c>
      <c r="B271" t="str">
        <f>"15131911      "</f>
        <v xml:space="preserve">15131911      </v>
      </c>
      <c r="C271" t="s">
        <v>158</v>
      </c>
      <c r="D271" t="s">
        <v>158</v>
      </c>
      <c r="E271" t="s">
        <v>2318</v>
      </c>
      <c r="F271" t="s">
        <v>2319</v>
      </c>
    </row>
    <row r="272" spans="1:6" x14ac:dyDescent="0.25">
      <c r="A272" t="s">
        <v>1678</v>
      </c>
      <c r="B272" t="str">
        <f>"15131919      "</f>
        <v xml:space="preserve">15131919      </v>
      </c>
      <c r="C272" t="s">
        <v>16</v>
      </c>
      <c r="D272" t="s">
        <v>16</v>
      </c>
      <c r="E272" t="s">
        <v>2320</v>
      </c>
      <c r="F272" t="s">
        <v>2321</v>
      </c>
    </row>
    <row r="273" spans="1:6" x14ac:dyDescent="0.25">
      <c r="A273" t="s">
        <v>1678</v>
      </c>
      <c r="B273" t="str">
        <f>"15131930      "</f>
        <v xml:space="preserve">15131930      </v>
      </c>
      <c r="C273" t="s">
        <v>2261</v>
      </c>
      <c r="D273" t="s">
        <v>2261</v>
      </c>
      <c r="E273" t="s">
        <v>2322</v>
      </c>
      <c r="F273" t="s">
        <v>2323</v>
      </c>
    </row>
    <row r="274" spans="1:6" x14ac:dyDescent="0.25">
      <c r="A274" t="s">
        <v>1678</v>
      </c>
      <c r="B274" t="str">
        <f>"15131991      "</f>
        <v xml:space="preserve">15131991      </v>
      </c>
      <c r="C274" t="s">
        <v>158</v>
      </c>
      <c r="D274" t="s">
        <v>158</v>
      </c>
      <c r="E274" t="s">
        <v>2324</v>
      </c>
      <c r="F274" t="s">
        <v>2325</v>
      </c>
    </row>
    <row r="275" spans="1:6" x14ac:dyDescent="0.25">
      <c r="A275" t="s">
        <v>1678</v>
      </c>
      <c r="B275" t="str">
        <f>"15131999      "</f>
        <v xml:space="preserve">15131999      </v>
      </c>
      <c r="C275" t="s">
        <v>16</v>
      </c>
      <c r="D275" t="s">
        <v>16</v>
      </c>
      <c r="E275" t="s">
        <v>2326</v>
      </c>
      <c r="F275" t="s">
        <v>2327</v>
      </c>
    </row>
    <row r="276" spans="1:6" x14ac:dyDescent="0.25">
      <c r="A276" t="s">
        <v>1678</v>
      </c>
      <c r="B276" t="str">
        <f>"15132110      "</f>
        <v xml:space="preserve">15132110      </v>
      </c>
      <c r="C276" t="s">
        <v>2261</v>
      </c>
      <c r="D276" t="s">
        <v>2261</v>
      </c>
      <c r="E276" t="s">
        <v>2328</v>
      </c>
      <c r="F276" t="s">
        <v>2329</v>
      </c>
    </row>
    <row r="277" spans="1:6" x14ac:dyDescent="0.25">
      <c r="A277" t="s">
        <v>1678</v>
      </c>
      <c r="B277" t="str">
        <f>"15132130      "</f>
        <v xml:space="preserve">15132130      </v>
      </c>
      <c r="C277" t="s">
        <v>158</v>
      </c>
      <c r="D277" t="s">
        <v>158</v>
      </c>
      <c r="E277" t="s">
        <v>2330</v>
      </c>
      <c r="F277" t="s">
        <v>2331</v>
      </c>
    </row>
    <row r="278" spans="1:6" x14ac:dyDescent="0.25">
      <c r="A278" t="s">
        <v>1678</v>
      </c>
      <c r="B278" t="str">
        <f>"15132190      "</f>
        <v xml:space="preserve">15132190      </v>
      </c>
      <c r="C278" t="s">
        <v>16</v>
      </c>
      <c r="D278" t="s">
        <v>16</v>
      </c>
      <c r="E278" t="s">
        <v>2332</v>
      </c>
      <c r="F278" t="s">
        <v>2333</v>
      </c>
    </row>
    <row r="279" spans="1:6" x14ac:dyDescent="0.25">
      <c r="A279" t="s">
        <v>1678</v>
      </c>
      <c r="B279" t="str">
        <f>"15132911      "</f>
        <v xml:space="preserve">15132911      </v>
      </c>
      <c r="C279" t="s">
        <v>158</v>
      </c>
      <c r="D279" t="s">
        <v>158</v>
      </c>
      <c r="E279" t="s">
        <v>2334</v>
      </c>
      <c r="F279" t="s">
        <v>2335</v>
      </c>
    </row>
    <row r="280" spans="1:6" x14ac:dyDescent="0.25">
      <c r="A280" t="s">
        <v>1678</v>
      </c>
      <c r="B280" t="str">
        <f>"15132919      "</f>
        <v xml:space="preserve">15132919      </v>
      </c>
      <c r="C280" t="s">
        <v>16</v>
      </c>
      <c r="D280" t="s">
        <v>16</v>
      </c>
      <c r="E280" t="s">
        <v>2336</v>
      </c>
      <c r="F280" t="s">
        <v>2337</v>
      </c>
    </row>
    <row r="281" spans="1:6" x14ac:dyDescent="0.25">
      <c r="A281" t="s">
        <v>1678</v>
      </c>
      <c r="B281" t="str">
        <f>"15132930      "</f>
        <v xml:space="preserve">15132930      </v>
      </c>
      <c r="C281" t="s">
        <v>2261</v>
      </c>
      <c r="D281" t="s">
        <v>2261</v>
      </c>
      <c r="E281" t="s">
        <v>2338</v>
      </c>
      <c r="F281" t="s">
        <v>2339</v>
      </c>
    </row>
    <row r="282" spans="1:6" x14ac:dyDescent="0.25">
      <c r="A282" t="s">
        <v>1678</v>
      </c>
      <c r="B282" t="str">
        <f>"15132950      "</f>
        <v xml:space="preserve">15132950      </v>
      </c>
      <c r="C282" t="s">
        <v>158</v>
      </c>
      <c r="D282" t="s">
        <v>158</v>
      </c>
      <c r="E282" t="s">
        <v>2340</v>
      </c>
      <c r="F282" t="s">
        <v>2341</v>
      </c>
    </row>
    <row r="283" spans="1:6" x14ac:dyDescent="0.25">
      <c r="A283" t="s">
        <v>1678</v>
      </c>
      <c r="B283" t="str">
        <f>"15132990      "</f>
        <v xml:space="preserve">15132990      </v>
      </c>
      <c r="C283" t="s">
        <v>16</v>
      </c>
      <c r="D283" t="s">
        <v>16</v>
      </c>
      <c r="E283" t="s">
        <v>2342</v>
      </c>
      <c r="F283" t="s">
        <v>2343</v>
      </c>
    </row>
    <row r="284" spans="1:6" x14ac:dyDescent="0.25">
      <c r="A284" t="s">
        <v>1678</v>
      </c>
      <c r="B284" t="str">
        <f>"15141110      "</f>
        <v xml:space="preserve">15141110      </v>
      </c>
      <c r="C284" t="s">
        <v>2261</v>
      </c>
      <c r="D284" t="s">
        <v>2261</v>
      </c>
      <c r="E284" t="s">
        <v>2344</v>
      </c>
      <c r="F284" t="s">
        <v>2345</v>
      </c>
    </row>
    <row r="285" spans="1:6" x14ac:dyDescent="0.25">
      <c r="A285" t="s">
        <v>1678</v>
      </c>
      <c r="B285" t="str">
        <f>"15141190      "</f>
        <v xml:space="preserve">15141190      </v>
      </c>
      <c r="C285" t="s">
        <v>16</v>
      </c>
      <c r="D285" t="s">
        <v>16</v>
      </c>
      <c r="E285" t="s">
        <v>2346</v>
      </c>
      <c r="F285" t="s">
        <v>2347</v>
      </c>
    </row>
    <row r="286" spans="1:6" x14ac:dyDescent="0.25">
      <c r="A286" t="s">
        <v>1678</v>
      </c>
      <c r="B286" t="str">
        <f>"15141910      "</f>
        <v xml:space="preserve">15141910      </v>
      </c>
      <c r="C286" t="s">
        <v>2261</v>
      </c>
      <c r="D286" t="s">
        <v>2261</v>
      </c>
      <c r="E286" t="s">
        <v>2348</v>
      </c>
      <c r="F286" t="s">
        <v>2349</v>
      </c>
    </row>
    <row r="287" spans="1:6" x14ac:dyDescent="0.25">
      <c r="A287" t="s">
        <v>1678</v>
      </c>
      <c r="B287" t="str">
        <f>"15141990      "</f>
        <v xml:space="preserve">15141990      </v>
      </c>
      <c r="C287" t="s">
        <v>16</v>
      </c>
      <c r="D287" t="s">
        <v>16</v>
      </c>
      <c r="E287" t="s">
        <v>2350</v>
      </c>
      <c r="F287" t="s">
        <v>2351</v>
      </c>
    </row>
    <row r="288" spans="1:6" x14ac:dyDescent="0.25">
      <c r="A288" t="s">
        <v>1678</v>
      </c>
      <c r="B288" t="str">
        <f>"15149110      "</f>
        <v xml:space="preserve">15149110      </v>
      </c>
      <c r="C288" t="s">
        <v>2261</v>
      </c>
      <c r="D288" t="s">
        <v>2261</v>
      </c>
      <c r="E288" t="s">
        <v>2352</v>
      </c>
      <c r="F288" t="s">
        <v>2353</v>
      </c>
    </row>
    <row r="289" spans="1:6" x14ac:dyDescent="0.25">
      <c r="A289" t="s">
        <v>1678</v>
      </c>
      <c r="B289" t="str">
        <f>"15149190      "</f>
        <v xml:space="preserve">15149190      </v>
      </c>
      <c r="C289" t="s">
        <v>16</v>
      </c>
      <c r="D289" t="s">
        <v>16</v>
      </c>
      <c r="E289" t="s">
        <v>2354</v>
      </c>
      <c r="F289" t="s">
        <v>2355</v>
      </c>
    </row>
    <row r="290" spans="1:6" x14ac:dyDescent="0.25">
      <c r="A290" t="s">
        <v>1678</v>
      </c>
      <c r="B290" t="str">
        <f>"15149910      "</f>
        <v xml:space="preserve">15149910      </v>
      </c>
      <c r="C290" t="s">
        <v>2261</v>
      </c>
      <c r="D290" t="s">
        <v>2261</v>
      </c>
      <c r="E290" t="s">
        <v>2356</v>
      </c>
      <c r="F290" t="s">
        <v>2357</v>
      </c>
    </row>
    <row r="291" spans="1:6" x14ac:dyDescent="0.25">
      <c r="A291" t="s">
        <v>1678</v>
      </c>
      <c r="B291" t="str">
        <f>"15149990      "</f>
        <v xml:space="preserve">15149990      </v>
      </c>
      <c r="C291" t="s">
        <v>16</v>
      </c>
      <c r="D291" t="s">
        <v>16</v>
      </c>
      <c r="E291" t="s">
        <v>2358</v>
      </c>
      <c r="F291" t="s">
        <v>2359</v>
      </c>
    </row>
    <row r="292" spans="1:6" x14ac:dyDescent="0.25">
      <c r="A292" t="s">
        <v>1678</v>
      </c>
      <c r="B292" t="str">
        <f>"15151100      "</f>
        <v xml:space="preserve">15151100      </v>
      </c>
      <c r="C292" t="s">
        <v>2360</v>
      </c>
      <c r="D292" t="s">
        <v>2360</v>
      </c>
      <c r="E292" t="s">
        <v>2361</v>
      </c>
      <c r="F292" t="s">
        <v>2362</v>
      </c>
    </row>
    <row r="293" spans="1:6" x14ac:dyDescent="0.25">
      <c r="A293" t="s">
        <v>1678</v>
      </c>
      <c r="B293" t="str">
        <f>"15151910      "</f>
        <v xml:space="preserve">15151910      </v>
      </c>
      <c r="C293" t="s">
        <v>2261</v>
      </c>
      <c r="D293" t="s">
        <v>2261</v>
      </c>
      <c r="E293" t="s">
        <v>2363</v>
      </c>
      <c r="F293" t="s">
        <v>2364</v>
      </c>
    </row>
    <row r="294" spans="1:6" x14ac:dyDescent="0.25">
      <c r="A294" t="s">
        <v>1678</v>
      </c>
      <c r="B294" t="str">
        <f>"15151990      "</f>
        <v xml:space="preserve">15151990      </v>
      </c>
      <c r="C294" t="s">
        <v>16</v>
      </c>
      <c r="D294" t="s">
        <v>16</v>
      </c>
      <c r="E294" t="s">
        <v>2365</v>
      </c>
      <c r="F294" t="s">
        <v>2366</v>
      </c>
    </row>
    <row r="295" spans="1:6" x14ac:dyDescent="0.25">
      <c r="A295" t="s">
        <v>1678</v>
      </c>
      <c r="B295" t="str">
        <f>"15152110      "</f>
        <v xml:space="preserve">15152110      </v>
      </c>
      <c r="C295" t="s">
        <v>2261</v>
      </c>
      <c r="D295" t="s">
        <v>2261</v>
      </c>
      <c r="E295" t="s">
        <v>2367</v>
      </c>
      <c r="F295" t="s">
        <v>2368</v>
      </c>
    </row>
    <row r="296" spans="1:6" x14ac:dyDescent="0.25">
      <c r="A296" t="s">
        <v>1678</v>
      </c>
      <c r="B296" t="str">
        <f>"15152190      "</f>
        <v xml:space="preserve">15152190      </v>
      </c>
      <c r="C296" t="s">
        <v>16</v>
      </c>
      <c r="D296" t="s">
        <v>16</v>
      </c>
      <c r="E296" t="s">
        <v>2369</v>
      </c>
      <c r="F296" t="s">
        <v>2370</v>
      </c>
    </row>
    <row r="297" spans="1:6" x14ac:dyDescent="0.25">
      <c r="A297" t="s">
        <v>1678</v>
      </c>
      <c r="B297" t="str">
        <f>"15152910      "</f>
        <v xml:space="preserve">15152910      </v>
      </c>
      <c r="C297" t="s">
        <v>2261</v>
      </c>
      <c r="D297" t="s">
        <v>2261</v>
      </c>
      <c r="E297" t="s">
        <v>2371</v>
      </c>
      <c r="F297" t="s">
        <v>2372</v>
      </c>
    </row>
    <row r="298" spans="1:6" x14ac:dyDescent="0.25">
      <c r="A298" t="s">
        <v>1678</v>
      </c>
      <c r="B298" t="str">
        <f>"15152990      "</f>
        <v xml:space="preserve">15152990      </v>
      </c>
      <c r="C298" t="s">
        <v>16</v>
      </c>
      <c r="D298" t="s">
        <v>16</v>
      </c>
      <c r="E298" t="s">
        <v>2373</v>
      </c>
      <c r="F298" t="s">
        <v>2374</v>
      </c>
    </row>
    <row r="299" spans="1:6" x14ac:dyDescent="0.25">
      <c r="A299" t="s">
        <v>1678</v>
      </c>
      <c r="B299" t="str">
        <f>"15153010      "</f>
        <v xml:space="preserve">15153010      </v>
      </c>
      <c r="C299" t="s">
        <v>2375</v>
      </c>
      <c r="D299" t="s">
        <v>2375</v>
      </c>
      <c r="E299" t="s">
        <v>2376</v>
      </c>
      <c r="F299" t="s">
        <v>2377</v>
      </c>
    </row>
    <row r="300" spans="1:6" x14ac:dyDescent="0.25">
      <c r="A300" t="s">
        <v>1678</v>
      </c>
      <c r="B300" t="str">
        <f>"15153090      "</f>
        <v xml:space="preserve">15153090      </v>
      </c>
      <c r="C300" t="s">
        <v>16</v>
      </c>
      <c r="D300" t="s">
        <v>16</v>
      </c>
      <c r="E300" t="s">
        <v>2378</v>
      </c>
      <c r="F300" t="s">
        <v>2379</v>
      </c>
    </row>
    <row r="301" spans="1:6" x14ac:dyDescent="0.25">
      <c r="A301" t="s">
        <v>1678</v>
      </c>
      <c r="B301" t="str">
        <f>"15155011      "</f>
        <v xml:space="preserve">15155011      </v>
      </c>
      <c r="C301" t="s">
        <v>2261</v>
      </c>
      <c r="D301" t="s">
        <v>2261</v>
      </c>
      <c r="E301" t="s">
        <v>2380</v>
      </c>
      <c r="F301" t="s">
        <v>2381</v>
      </c>
    </row>
    <row r="302" spans="1:6" x14ac:dyDescent="0.25">
      <c r="A302" t="s">
        <v>1678</v>
      </c>
      <c r="B302" t="str">
        <f>"15155019      "</f>
        <v xml:space="preserve">15155019      </v>
      </c>
      <c r="C302" t="s">
        <v>16</v>
      </c>
      <c r="D302" t="s">
        <v>16</v>
      </c>
      <c r="E302" t="s">
        <v>2382</v>
      </c>
      <c r="F302" t="s">
        <v>2383</v>
      </c>
    </row>
    <row r="303" spans="1:6" x14ac:dyDescent="0.25">
      <c r="A303" t="s">
        <v>1678</v>
      </c>
      <c r="B303" t="str">
        <f>"15155091      "</f>
        <v xml:space="preserve">15155091      </v>
      </c>
      <c r="C303" t="s">
        <v>2261</v>
      </c>
      <c r="D303" t="s">
        <v>2261</v>
      </c>
      <c r="E303" t="s">
        <v>2384</v>
      </c>
      <c r="F303" t="s">
        <v>2385</v>
      </c>
    </row>
    <row r="304" spans="1:6" x14ac:dyDescent="0.25">
      <c r="A304" t="s">
        <v>1678</v>
      </c>
      <c r="B304" t="str">
        <f>"15155099      "</f>
        <v xml:space="preserve">15155099      </v>
      </c>
      <c r="C304" t="s">
        <v>16</v>
      </c>
      <c r="D304" t="s">
        <v>16</v>
      </c>
      <c r="E304" t="s">
        <v>2386</v>
      </c>
      <c r="F304" t="s">
        <v>2387</v>
      </c>
    </row>
    <row r="305" spans="1:6" x14ac:dyDescent="0.25">
      <c r="A305" t="s">
        <v>1678</v>
      </c>
      <c r="B305" t="str">
        <f>"15159011      "</f>
        <v xml:space="preserve">15159011      </v>
      </c>
      <c r="C305" t="s">
        <v>2388</v>
      </c>
      <c r="D305" t="s">
        <v>2388</v>
      </c>
      <c r="E305" t="s">
        <v>2389</v>
      </c>
      <c r="F305" t="s">
        <v>2390</v>
      </c>
    </row>
    <row r="306" spans="1:6" x14ac:dyDescent="0.25">
      <c r="A306" t="s">
        <v>1678</v>
      </c>
      <c r="B306" t="str">
        <f>"15159021      "</f>
        <v xml:space="preserve">15159021      </v>
      </c>
      <c r="C306" t="s">
        <v>2261</v>
      </c>
      <c r="D306" t="s">
        <v>2261</v>
      </c>
      <c r="E306" t="s">
        <v>2391</v>
      </c>
      <c r="F306" t="s">
        <v>2392</v>
      </c>
    </row>
    <row r="307" spans="1:6" x14ac:dyDescent="0.25">
      <c r="A307" t="s">
        <v>1678</v>
      </c>
      <c r="B307" t="str">
        <f>"15159029      "</f>
        <v xml:space="preserve">15159029      </v>
      </c>
      <c r="C307" t="s">
        <v>16</v>
      </c>
      <c r="D307" t="s">
        <v>16</v>
      </c>
      <c r="E307" t="s">
        <v>2393</v>
      </c>
      <c r="F307" t="s">
        <v>2394</v>
      </c>
    </row>
    <row r="308" spans="1:6" x14ac:dyDescent="0.25">
      <c r="A308" t="s">
        <v>1678</v>
      </c>
      <c r="B308" t="str">
        <f>"15159031      "</f>
        <v xml:space="preserve">15159031      </v>
      </c>
      <c r="C308" t="s">
        <v>2261</v>
      </c>
      <c r="D308" t="s">
        <v>2261</v>
      </c>
      <c r="E308" t="s">
        <v>2395</v>
      </c>
      <c r="F308" t="s">
        <v>2396</v>
      </c>
    </row>
    <row r="309" spans="1:6" x14ac:dyDescent="0.25">
      <c r="A309" t="s">
        <v>1678</v>
      </c>
      <c r="B309" t="str">
        <f>"15159039      "</f>
        <v xml:space="preserve">15159039      </v>
      </c>
      <c r="C309" t="s">
        <v>16</v>
      </c>
      <c r="D309" t="s">
        <v>16</v>
      </c>
      <c r="E309" t="s">
        <v>2397</v>
      </c>
      <c r="F309" t="s">
        <v>2398</v>
      </c>
    </row>
    <row r="310" spans="1:6" x14ac:dyDescent="0.25">
      <c r="A310" t="s">
        <v>1678</v>
      </c>
      <c r="B310" t="str">
        <f>"15159040      "</f>
        <v xml:space="preserve">15159040      </v>
      </c>
      <c r="C310" t="s">
        <v>2261</v>
      </c>
      <c r="D310" t="s">
        <v>2261</v>
      </c>
      <c r="E310" t="s">
        <v>2399</v>
      </c>
      <c r="F310" t="s">
        <v>2400</v>
      </c>
    </row>
    <row r="311" spans="1:6" x14ac:dyDescent="0.25">
      <c r="A311" t="s">
        <v>1678</v>
      </c>
      <c r="B311" t="str">
        <f>"15159051      "</f>
        <v xml:space="preserve">15159051      </v>
      </c>
      <c r="C311" t="s">
        <v>2401</v>
      </c>
      <c r="D311" t="s">
        <v>2401</v>
      </c>
      <c r="E311" t="s">
        <v>2402</v>
      </c>
      <c r="F311" t="s">
        <v>2403</v>
      </c>
    </row>
    <row r="312" spans="1:6" x14ac:dyDescent="0.25">
      <c r="A312" t="s">
        <v>1678</v>
      </c>
      <c r="B312" t="str">
        <f>"15159059      "</f>
        <v xml:space="preserve">15159059      </v>
      </c>
      <c r="C312" t="s">
        <v>2404</v>
      </c>
      <c r="D312" t="s">
        <v>2404</v>
      </c>
      <c r="E312" t="s">
        <v>2405</v>
      </c>
      <c r="F312" t="s">
        <v>2406</v>
      </c>
    </row>
    <row r="313" spans="1:6" x14ac:dyDescent="0.25">
      <c r="A313" t="s">
        <v>1678</v>
      </c>
      <c r="B313" t="str">
        <f>"15159060      "</f>
        <v xml:space="preserve">15159060      </v>
      </c>
      <c r="C313" t="s">
        <v>2261</v>
      </c>
      <c r="D313" t="s">
        <v>2261</v>
      </c>
      <c r="E313" t="s">
        <v>2407</v>
      </c>
      <c r="F313" t="s">
        <v>2408</v>
      </c>
    </row>
    <row r="314" spans="1:6" x14ac:dyDescent="0.25">
      <c r="A314" t="s">
        <v>1678</v>
      </c>
      <c r="B314" t="str">
        <f>"15159091      "</f>
        <v xml:space="preserve">15159091      </v>
      </c>
      <c r="C314" t="s">
        <v>2401</v>
      </c>
      <c r="D314" t="s">
        <v>2401</v>
      </c>
      <c r="E314" t="s">
        <v>2409</v>
      </c>
      <c r="F314" t="s">
        <v>2410</v>
      </c>
    </row>
    <row r="315" spans="1:6" x14ac:dyDescent="0.25">
      <c r="A315" t="s">
        <v>1678</v>
      </c>
      <c r="B315" t="str">
        <f>"15159099      "</f>
        <v xml:space="preserve">15159099      </v>
      </c>
      <c r="C315" t="s">
        <v>2404</v>
      </c>
      <c r="D315" t="s">
        <v>2404</v>
      </c>
      <c r="E315" t="s">
        <v>2411</v>
      </c>
      <c r="F315" t="s">
        <v>2412</v>
      </c>
    </row>
    <row r="316" spans="1:6" x14ac:dyDescent="0.25">
      <c r="A316" t="s">
        <v>1678</v>
      </c>
      <c r="B316" t="str">
        <f>"15161010      "</f>
        <v xml:space="preserve">15161010      </v>
      </c>
      <c r="C316" t="s">
        <v>158</v>
      </c>
      <c r="D316" t="s">
        <v>158</v>
      </c>
      <c r="E316" t="s">
        <v>2413</v>
      </c>
      <c r="F316" t="s">
        <v>2414</v>
      </c>
    </row>
    <row r="317" spans="1:6" x14ac:dyDescent="0.25">
      <c r="A317" t="s">
        <v>1678</v>
      </c>
      <c r="B317" t="str">
        <f>"15161090      "</f>
        <v xml:space="preserve">15161090      </v>
      </c>
      <c r="C317" t="s">
        <v>16</v>
      </c>
      <c r="D317" t="s">
        <v>16</v>
      </c>
      <c r="E317" t="s">
        <v>2415</v>
      </c>
      <c r="F317" t="s">
        <v>2416</v>
      </c>
    </row>
    <row r="318" spans="1:6" x14ac:dyDescent="0.25">
      <c r="A318" t="s">
        <v>1678</v>
      </c>
      <c r="B318" t="str">
        <f>"15162010      "</f>
        <v xml:space="preserve">15162010      </v>
      </c>
      <c r="C318" t="s">
        <v>2417</v>
      </c>
      <c r="D318" t="s">
        <v>2417</v>
      </c>
      <c r="E318" t="s">
        <v>2418</v>
      </c>
      <c r="F318" t="s">
        <v>2419</v>
      </c>
    </row>
    <row r="319" spans="1:6" x14ac:dyDescent="0.25">
      <c r="A319" t="s">
        <v>1678</v>
      </c>
      <c r="B319" t="str">
        <f>"15162091      "</f>
        <v xml:space="preserve">15162091      </v>
      </c>
      <c r="C319" t="s">
        <v>158</v>
      </c>
      <c r="D319" t="s">
        <v>158</v>
      </c>
      <c r="E319" t="s">
        <v>2420</v>
      </c>
      <c r="F319" t="s">
        <v>2421</v>
      </c>
    </row>
    <row r="320" spans="1:6" x14ac:dyDescent="0.25">
      <c r="A320" t="s">
        <v>1678</v>
      </c>
      <c r="B320" t="str">
        <f>"15162095      "</f>
        <v xml:space="preserve">15162095      </v>
      </c>
      <c r="C320" t="s">
        <v>2422</v>
      </c>
      <c r="D320" t="s">
        <v>2422</v>
      </c>
      <c r="E320" t="s">
        <v>2423</v>
      </c>
      <c r="F320" t="s">
        <v>2424</v>
      </c>
    </row>
    <row r="321" spans="1:6" x14ac:dyDescent="0.25">
      <c r="A321" t="s">
        <v>1678</v>
      </c>
      <c r="B321" t="str">
        <f>"15162096      "</f>
        <v xml:space="preserve">15162096      </v>
      </c>
      <c r="C321" t="s">
        <v>2425</v>
      </c>
      <c r="D321" t="s">
        <v>2425</v>
      </c>
      <c r="E321" t="s">
        <v>2426</v>
      </c>
      <c r="F321" t="s">
        <v>2427</v>
      </c>
    </row>
    <row r="322" spans="1:6" x14ac:dyDescent="0.25">
      <c r="A322" t="s">
        <v>1678</v>
      </c>
      <c r="B322" t="str">
        <f>"15162098      "</f>
        <v xml:space="preserve">15162098      </v>
      </c>
      <c r="C322" t="s">
        <v>16</v>
      </c>
      <c r="D322" t="s">
        <v>16</v>
      </c>
      <c r="E322" t="s">
        <v>2428</v>
      </c>
      <c r="F322" t="s">
        <v>2429</v>
      </c>
    </row>
    <row r="323" spans="1:6" x14ac:dyDescent="0.25">
      <c r="A323" t="s">
        <v>1678</v>
      </c>
      <c r="B323" t="str">
        <f>"15171010      "</f>
        <v xml:space="preserve">15171010      </v>
      </c>
      <c r="C323" t="s">
        <v>2430</v>
      </c>
      <c r="D323" t="s">
        <v>2430</v>
      </c>
      <c r="E323" t="s">
        <v>2431</v>
      </c>
      <c r="F323" t="s">
        <v>2432</v>
      </c>
    </row>
    <row r="324" spans="1:6" x14ac:dyDescent="0.25">
      <c r="A324" t="s">
        <v>1678</v>
      </c>
      <c r="B324" t="str">
        <f>"15171090      "</f>
        <v xml:space="preserve">15171090      </v>
      </c>
      <c r="C324" t="s">
        <v>16</v>
      </c>
      <c r="D324" t="s">
        <v>16</v>
      </c>
      <c r="E324" t="s">
        <v>2433</v>
      </c>
      <c r="F324" t="s">
        <v>2434</v>
      </c>
    </row>
    <row r="325" spans="1:6" x14ac:dyDescent="0.25">
      <c r="A325" t="s">
        <v>1678</v>
      </c>
      <c r="B325" t="str">
        <f>"15179010      "</f>
        <v xml:space="preserve">15179010      </v>
      </c>
      <c r="C325" t="s">
        <v>2430</v>
      </c>
      <c r="D325" t="s">
        <v>2430</v>
      </c>
      <c r="E325" t="s">
        <v>2435</v>
      </c>
      <c r="F325" t="s">
        <v>2436</v>
      </c>
    </row>
    <row r="326" spans="1:6" x14ac:dyDescent="0.25">
      <c r="A326" t="s">
        <v>1678</v>
      </c>
      <c r="B326" t="str">
        <f>"15179091      "</f>
        <v xml:space="preserve">15179091      </v>
      </c>
      <c r="C326" t="s">
        <v>2437</v>
      </c>
      <c r="D326" t="s">
        <v>2437</v>
      </c>
      <c r="E326" t="s">
        <v>2438</v>
      </c>
      <c r="F326" t="s">
        <v>2439</v>
      </c>
    </row>
    <row r="327" spans="1:6" x14ac:dyDescent="0.25">
      <c r="A327" t="s">
        <v>1678</v>
      </c>
      <c r="B327" t="str">
        <f>"15179093      "</f>
        <v xml:space="preserve">15179093      </v>
      </c>
      <c r="C327" t="s">
        <v>2440</v>
      </c>
      <c r="D327" t="s">
        <v>2440</v>
      </c>
      <c r="E327" t="s">
        <v>2441</v>
      </c>
      <c r="F327" t="s">
        <v>2442</v>
      </c>
    </row>
    <row r="328" spans="1:6" x14ac:dyDescent="0.25">
      <c r="A328" t="s">
        <v>1678</v>
      </c>
      <c r="B328" t="str">
        <f>"15179099      "</f>
        <v xml:space="preserve">15179099      </v>
      </c>
      <c r="C328" t="s">
        <v>16</v>
      </c>
      <c r="D328" t="s">
        <v>16</v>
      </c>
      <c r="E328" t="s">
        <v>2443</v>
      </c>
      <c r="F328" t="s">
        <v>2444</v>
      </c>
    </row>
    <row r="329" spans="1:6" x14ac:dyDescent="0.25">
      <c r="A329" t="s">
        <v>1678</v>
      </c>
      <c r="B329" t="str">
        <f>"15180010      "</f>
        <v xml:space="preserve">15180010      </v>
      </c>
      <c r="C329" t="s">
        <v>2445</v>
      </c>
      <c r="D329" t="s">
        <v>2445</v>
      </c>
      <c r="E329" t="s">
        <v>2446</v>
      </c>
      <c r="F329" t="s">
        <v>2447</v>
      </c>
    </row>
    <row r="330" spans="1:6" x14ac:dyDescent="0.25">
      <c r="A330" t="s">
        <v>1678</v>
      </c>
      <c r="B330" t="str">
        <f>"15180031      "</f>
        <v xml:space="preserve">15180031      </v>
      </c>
      <c r="C330" t="s">
        <v>2448</v>
      </c>
      <c r="D330" t="s">
        <v>2448</v>
      </c>
      <c r="E330" t="s">
        <v>2449</v>
      </c>
      <c r="F330" t="s">
        <v>2450</v>
      </c>
    </row>
    <row r="331" spans="1:6" x14ac:dyDescent="0.25">
      <c r="A331" t="s">
        <v>1678</v>
      </c>
      <c r="B331" t="str">
        <f>"15180039      "</f>
        <v xml:space="preserve">15180039      </v>
      </c>
      <c r="C331" t="s">
        <v>16</v>
      </c>
      <c r="D331" t="s">
        <v>16</v>
      </c>
      <c r="E331" t="s">
        <v>2451</v>
      </c>
      <c r="F331" t="s">
        <v>2452</v>
      </c>
    </row>
    <row r="332" spans="1:6" x14ac:dyDescent="0.25">
      <c r="A332" t="s">
        <v>1678</v>
      </c>
      <c r="B332" t="str">
        <f>"15180091      "</f>
        <v xml:space="preserve">15180091      </v>
      </c>
      <c r="C332" t="s">
        <v>2453</v>
      </c>
      <c r="D332" t="s">
        <v>2454</v>
      </c>
      <c r="E332" t="s">
        <v>2455</v>
      </c>
      <c r="F332" t="s">
        <v>2456</v>
      </c>
    </row>
    <row r="333" spans="1:6" x14ac:dyDescent="0.25">
      <c r="A333" t="s">
        <v>1678</v>
      </c>
      <c r="B333" t="str">
        <f>"15180095      "</f>
        <v xml:space="preserve">15180095      </v>
      </c>
      <c r="C333" t="s">
        <v>2457</v>
      </c>
      <c r="D333" t="s">
        <v>2458</v>
      </c>
      <c r="E333" t="s">
        <v>2459</v>
      </c>
      <c r="F333" t="s">
        <v>2460</v>
      </c>
    </row>
    <row r="334" spans="1:6" x14ac:dyDescent="0.25">
      <c r="A334" t="s">
        <v>1678</v>
      </c>
      <c r="B334" t="str">
        <f>"15180099      "</f>
        <v xml:space="preserve">15180099      </v>
      </c>
      <c r="C334" t="s">
        <v>16</v>
      </c>
      <c r="D334" t="s">
        <v>16</v>
      </c>
      <c r="E334" t="s">
        <v>2461</v>
      </c>
      <c r="F334" t="s">
        <v>2462</v>
      </c>
    </row>
    <row r="335" spans="1:6" x14ac:dyDescent="0.25">
      <c r="A335" t="s">
        <v>1678</v>
      </c>
      <c r="B335" t="str">
        <f>"15200000      "</f>
        <v xml:space="preserve">15200000      </v>
      </c>
      <c r="C335" t="s">
        <v>2463</v>
      </c>
      <c r="D335" t="s">
        <v>2463</v>
      </c>
      <c r="E335" t="s">
        <v>2464</v>
      </c>
      <c r="F335" t="s">
        <v>2465</v>
      </c>
    </row>
    <row r="336" spans="1:6" x14ac:dyDescent="0.25">
      <c r="A336" t="s">
        <v>1678</v>
      </c>
      <c r="B336" t="str">
        <f>"15211000      "</f>
        <v xml:space="preserve">15211000      </v>
      </c>
      <c r="C336" t="s">
        <v>2466</v>
      </c>
      <c r="D336" t="s">
        <v>2466</v>
      </c>
      <c r="E336" t="s">
        <v>2467</v>
      </c>
      <c r="F336" t="s">
        <v>2468</v>
      </c>
    </row>
    <row r="337" spans="1:6" x14ac:dyDescent="0.25">
      <c r="A337" t="s">
        <v>1678</v>
      </c>
      <c r="B337" t="str">
        <f>"15219010      "</f>
        <v xml:space="preserve">15219010      </v>
      </c>
      <c r="C337" t="s">
        <v>2469</v>
      </c>
      <c r="D337" t="s">
        <v>2469</v>
      </c>
      <c r="E337" t="s">
        <v>2470</v>
      </c>
      <c r="F337" t="s">
        <v>2471</v>
      </c>
    </row>
    <row r="338" spans="1:6" x14ac:dyDescent="0.25">
      <c r="A338" t="s">
        <v>1678</v>
      </c>
      <c r="B338" t="str">
        <f>"15219091      "</f>
        <v xml:space="preserve">15219091      </v>
      </c>
      <c r="C338" t="s">
        <v>2472</v>
      </c>
      <c r="D338" t="s">
        <v>2472</v>
      </c>
      <c r="E338" t="s">
        <v>2473</v>
      </c>
      <c r="F338" t="s">
        <v>2474</v>
      </c>
    </row>
    <row r="339" spans="1:6" x14ac:dyDescent="0.25">
      <c r="A339" t="s">
        <v>1678</v>
      </c>
      <c r="B339" t="str">
        <f>"15219099      "</f>
        <v xml:space="preserve">15219099      </v>
      </c>
      <c r="C339" t="s">
        <v>16</v>
      </c>
      <c r="D339" t="s">
        <v>16</v>
      </c>
      <c r="E339" t="s">
        <v>2475</v>
      </c>
      <c r="F339" t="s">
        <v>2476</v>
      </c>
    </row>
    <row r="340" spans="1:6" x14ac:dyDescent="0.25">
      <c r="A340" t="s">
        <v>1678</v>
      </c>
      <c r="B340" t="str">
        <f>"15220010      "</f>
        <v xml:space="preserve">15220010      </v>
      </c>
      <c r="C340" t="s">
        <v>2477</v>
      </c>
      <c r="D340" t="s">
        <v>2477</v>
      </c>
      <c r="E340" t="s">
        <v>2478</v>
      </c>
      <c r="F340" t="s">
        <v>2479</v>
      </c>
    </row>
    <row r="341" spans="1:6" x14ac:dyDescent="0.25">
      <c r="A341" t="s">
        <v>1678</v>
      </c>
      <c r="B341" t="str">
        <f>"15220031      "</f>
        <v xml:space="preserve">15220031      </v>
      </c>
      <c r="C341" t="s">
        <v>2480</v>
      </c>
      <c r="D341" t="s">
        <v>2480</v>
      </c>
      <c r="E341" t="s">
        <v>2481</v>
      </c>
      <c r="F341" t="s">
        <v>2482</v>
      </c>
    </row>
    <row r="342" spans="1:6" x14ac:dyDescent="0.25">
      <c r="A342" t="s">
        <v>1678</v>
      </c>
      <c r="B342" t="str">
        <f>"15220039      "</f>
        <v xml:space="preserve">15220039      </v>
      </c>
      <c r="C342" t="s">
        <v>16</v>
      </c>
      <c r="D342" t="s">
        <v>16</v>
      </c>
      <c r="E342" t="s">
        <v>2483</v>
      </c>
      <c r="F342" t="s">
        <v>2484</v>
      </c>
    </row>
    <row r="343" spans="1:6" x14ac:dyDescent="0.25">
      <c r="A343" t="s">
        <v>1678</v>
      </c>
      <c r="B343" t="str">
        <f>"15220091      "</f>
        <v xml:space="preserve">15220091      </v>
      </c>
      <c r="C343" t="s">
        <v>2485</v>
      </c>
      <c r="D343" t="s">
        <v>2485</v>
      </c>
      <c r="E343" t="s">
        <v>2486</v>
      </c>
      <c r="F343" t="s">
        <v>2487</v>
      </c>
    </row>
    <row r="344" spans="1:6" x14ac:dyDescent="0.25">
      <c r="A344" t="s">
        <v>1678</v>
      </c>
      <c r="B344" t="str">
        <f>"15220099      "</f>
        <v xml:space="preserve">15220099      </v>
      </c>
      <c r="C344" t="s">
        <v>16</v>
      </c>
      <c r="D344" t="s">
        <v>16</v>
      </c>
      <c r="E344" t="s">
        <v>2488</v>
      </c>
      <c r="F344" t="s">
        <v>2489</v>
      </c>
    </row>
    <row r="345" spans="1:6" x14ac:dyDescent="0.25">
      <c r="A345" t="s">
        <v>1678</v>
      </c>
      <c r="B345" t="str">
        <f>"16010010      "</f>
        <v xml:space="preserve">16010010      </v>
      </c>
      <c r="C345" t="s">
        <v>2490</v>
      </c>
      <c r="D345" t="s">
        <v>2490</v>
      </c>
      <c r="E345" t="s">
        <v>2491</v>
      </c>
      <c r="F345" t="s">
        <v>2492</v>
      </c>
    </row>
    <row r="346" spans="1:6" x14ac:dyDescent="0.25">
      <c r="A346" t="s">
        <v>1678</v>
      </c>
      <c r="B346" t="str">
        <f>"16010091      "</f>
        <v xml:space="preserve">16010091      </v>
      </c>
      <c r="C346" t="s">
        <v>2493</v>
      </c>
      <c r="D346" t="s">
        <v>2493</v>
      </c>
      <c r="E346" t="s">
        <v>2494</v>
      </c>
      <c r="F346" t="s">
        <v>2495</v>
      </c>
    </row>
    <row r="347" spans="1:6" x14ac:dyDescent="0.25">
      <c r="A347" t="s">
        <v>1678</v>
      </c>
      <c r="B347" t="str">
        <f>"16010099      "</f>
        <v xml:space="preserve">16010099      </v>
      </c>
      <c r="C347" t="s">
        <v>16</v>
      </c>
      <c r="D347" t="s">
        <v>16</v>
      </c>
      <c r="E347" t="s">
        <v>2496</v>
      </c>
      <c r="F347" t="s">
        <v>2497</v>
      </c>
    </row>
    <row r="348" spans="1:6" x14ac:dyDescent="0.25">
      <c r="A348" t="s">
        <v>1678</v>
      </c>
      <c r="B348" t="str">
        <f>"16021000      "</f>
        <v xml:space="preserve">16021000      </v>
      </c>
      <c r="C348" t="s">
        <v>2498</v>
      </c>
      <c r="D348" t="s">
        <v>2498</v>
      </c>
      <c r="E348" t="s">
        <v>2499</v>
      </c>
      <c r="F348" t="s">
        <v>2500</v>
      </c>
    </row>
    <row r="349" spans="1:6" x14ac:dyDescent="0.25">
      <c r="A349" t="s">
        <v>1678</v>
      </c>
      <c r="B349" t="str">
        <f>"16022010      "</f>
        <v xml:space="preserve">16022010      </v>
      </c>
      <c r="C349" t="s">
        <v>2501</v>
      </c>
      <c r="D349" t="s">
        <v>2501</v>
      </c>
      <c r="E349" t="s">
        <v>2502</v>
      </c>
      <c r="F349" t="s">
        <v>2503</v>
      </c>
    </row>
    <row r="350" spans="1:6" x14ac:dyDescent="0.25">
      <c r="A350" t="s">
        <v>1678</v>
      </c>
      <c r="B350" t="str">
        <f>"16022090      "</f>
        <v xml:space="preserve">16022090      </v>
      </c>
      <c r="C350" t="s">
        <v>16</v>
      </c>
      <c r="D350" t="s">
        <v>16</v>
      </c>
      <c r="E350" t="s">
        <v>2504</v>
      </c>
      <c r="F350" t="s">
        <v>2505</v>
      </c>
    </row>
    <row r="351" spans="1:6" x14ac:dyDescent="0.25">
      <c r="A351" t="s">
        <v>1678</v>
      </c>
      <c r="B351" t="str">
        <f>"16023111      "</f>
        <v xml:space="preserve">16023111      </v>
      </c>
      <c r="C351" t="s">
        <v>2506</v>
      </c>
      <c r="D351" t="s">
        <v>2506</v>
      </c>
      <c r="E351" t="s">
        <v>2507</v>
      </c>
      <c r="F351" t="s">
        <v>2508</v>
      </c>
    </row>
    <row r="352" spans="1:6" x14ac:dyDescent="0.25">
      <c r="A352" t="s">
        <v>1678</v>
      </c>
      <c r="B352" t="str">
        <f>"16023119      "</f>
        <v xml:space="preserve">16023119      </v>
      </c>
      <c r="C352" t="s">
        <v>16</v>
      </c>
      <c r="D352" t="s">
        <v>16</v>
      </c>
      <c r="E352" t="s">
        <v>2509</v>
      </c>
      <c r="F352" t="s">
        <v>2510</v>
      </c>
    </row>
    <row r="353" spans="1:6" x14ac:dyDescent="0.25">
      <c r="A353" t="s">
        <v>1678</v>
      </c>
      <c r="B353" t="str">
        <f>"16023180      "</f>
        <v xml:space="preserve">16023180      </v>
      </c>
      <c r="C353" t="s">
        <v>16</v>
      </c>
      <c r="D353" t="s">
        <v>16</v>
      </c>
      <c r="E353" t="s">
        <v>2511</v>
      </c>
      <c r="F353" t="s">
        <v>2512</v>
      </c>
    </row>
    <row r="354" spans="1:6" x14ac:dyDescent="0.25">
      <c r="A354" t="s">
        <v>1678</v>
      </c>
      <c r="B354" t="str">
        <f>"16023211      "</f>
        <v xml:space="preserve">16023211      </v>
      </c>
      <c r="C354" t="s">
        <v>2513</v>
      </c>
      <c r="D354" t="s">
        <v>2513</v>
      </c>
      <c r="E354" t="s">
        <v>2514</v>
      </c>
      <c r="F354" t="s">
        <v>2515</v>
      </c>
    </row>
    <row r="355" spans="1:6" x14ac:dyDescent="0.25">
      <c r="A355" t="s">
        <v>1678</v>
      </c>
      <c r="B355" t="str">
        <f>"16023219      "</f>
        <v xml:space="preserve">16023219      </v>
      </c>
      <c r="C355" t="s">
        <v>16</v>
      </c>
      <c r="D355" t="s">
        <v>16</v>
      </c>
      <c r="E355" t="s">
        <v>2516</v>
      </c>
      <c r="F355" t="s">
        <v>2517</v>
      </c>
    </row>
    <row r="356" spans="1:6" x14ac:dyDescent="0.25">
      <c r="A356" t="s">
        <v>1678</v>
      </c>
      <c r="B356" t="str">
        <f>"16023230      "</f>
        <v xml:space="preserve">16023230      </v>
      </c>
      <c r="C356" t="s">
        <v>2518</v>
      </c>
      <c r="D356" t="s">
        <v>2518</v>
      </c>
      <c r="E356" t="s">
        <v>2519</v>
      </c>
      <c r="F356" t="s">
        <v>2520</v>
      </c>
    </row>
    <row r="357" spans="1:6" x14ac:dyDescent="0.25">
      <c r="A357" t="s">
        <v>1678</v>
      </c>
      <c r="B357" t="str">
        <f>"16023290      "</f>
        <v xml:space="preserve">16023290      </v>
      </c>
      <c r="C357" t="s">
        <v>16</v>
      </c>
      <c r="D357" t="s">
        <v>16</v>
      </c>
      <c r="E357" t="s">
        <v>2521</v>
      </c>
      <c r="F357" t="s">
        <v>2522</v>
      </c>
    </row>
    <row r="358" spans="1:6" x14ac:dyDescent="0.25">
      <c r="A358" t="s">
        <v>1678</v>
      </c>
      <c r="B358" t="str">
        <f>"16023921      "</f>
        <v xml:space="preserve">16023921      </v>
      </c>
      <c r="C358" t="s">
        <v>2513</v>
      </c>
      <c r="D358" t="s">
        <v>2513</v>
      </c>
      <c r="E358" t="s">
        <v>2523</v>
      </c>
      <c r="F358" t="s">
        <v>2524</v>
      </c>
    </row>
    <row r="359" spans="1:6" x14ac:dyDescent="0.25">
      <c r="A359" t="s">
        <v>1678</v>
      </c>
      <c r="B359" t="str">
        <f>"16023929      "</f>
        <v xml:space="preserve">16023929      </v>
      </c>
      <c r="C359" t="s">
        <v>16</v>
      </c>
      <c r="D359" t="s">
        <v>16</v>
      </c>
      <c r="E359" t="s">
        <v>2525</v>
      </c>
      <c r="F359" t="s">
        <v>2526</v>
      </c>
    </row>
    <row r="360" spans="1:6" x14ac:dyDescent="0.25">
      <c r="A360" t="s">
        <v>1678</v>
      </c>
      <c r="B360" t="str">
        <f>"16023985      "</f>
        <v xml:space="preserve">16023985      </v>
      </c>
      <c r="C360" t="s">
        <v>16</v>
      </c>
      <c r="D360" t="s">
        <v>16</v>
      </c>
      <c r="E360" t="s">
        <v>2527</v>
      </c>
      <c r="F360" t="s">
        <v>2528</v>
      </c>
    </row>
    <row r="361" spans="1:6" x14ac:dyDescent="0.25">
      <c r="A361" t="s">
        <v>1678</v>
      </c>
      <c r="B361" t="str">
        <f>"16024110      "</f>
        <v xml:space="preserve">16024110      </v>
      </c>
      <c r="C361" t="s">
        <v>2529</v>
      </c>
      <c r="D361" t="s">
        <v>2529</v>
      </c>
      <c r="E361" t="s">
        <v>2530</v>
      </c>
      <c r="F361" t="s">
        <v>2531</v>
      </c>
    </row>
    <row r="362" spans="1:6" x14ac:dyDescent="0.25">
      <c r="A362" t="s">
        <v>1678</v>
      </c>
      <c r="B362" t="str">
        <f>"16024190      "</f>
        <v xml:space="preserve">16024190      </v>
      </c>
      <c r="C362" t="s">
        <v>16</v>
      </c>
      <c r="D362" t="s">
        <v>16</v>
      </c>
      <c r="E362" t="s">
        <v>2532</v>
      </c>
      <c r="F362" t="s">
        <v>2533</v>
      </c>
    </row>
    <row r="363" spans="1:6" x14ac:dyDescent="0.25">
      <c r="A363" t="s">
        <v>1678</v>
      </c>
      <c r="B363" t="str">
        <f>"16024210      "</f>
        <v xml:space="preserve">16024210      </v>
      </c>
      <c r="C363" t="s">
        <v>2529</v>
      </c>
      <c r="D363" t="s">
        <v>2529</v>
      </c>
      <c r="E363" t="s">
        <v>2534</v>
      </c>
      <c r="F363" t="s">
        <v>2535</v>
      </c>
    </row>
    <row r="364" spans="1:6" x14ac:dyDescent="0.25">
      <c r="A364" t="s">
        <v>1678</v>
      </c>
      <c r="B364" t="str">
        <f>"16024290      "</f>
        <v xml:space="preserve">16024290      </v>
      </c>
      <c r="C364" t="s">
        <v>16</v>
      </c>
      <c r="D364" t="s">
        <v>16</v>
      </c>
      <c r="E364" t="s">
        <v>2536</v>
      </c>
      <c r="F364" t="s">
        <v>2537</v>
      </c>
    </row>
    <row r="365" spans="1:6" x14ac:dyDescent="0.25">
      <c r="A365" t="s">
        <v>1678</v>
      </c>
      <c r="B365" t="str">
        <f>"16024911      "</f>
        <v xml:space="preserve">16024911      </v>
      </c>
      <c r="C365" t="s">
        <v>2538</v>
      </c>
      <c r="D365" t="s">
        <v>2538</v>
      </c>
      <c r="E365" t="s">
        <v>2539</v>
      </c>
      <c r="F365" t="s">
        <v>2540</v>
      </c>
    </row>
    <row r="366" spans="1:6" x14ac:dyDescent="0.25">
      <c r="A366" t="s">
        <v>1678</v>
      </c>
      <c r="B366" t="str">
        <f>"16024913      "</f>
        <v xml:space="preserve">16024913      </v>
      </c>
      <c r="C366" t="s">
        <v>2541</v>
      </c>
      <c r="D366" t="s">
        <v>2541</v>
      </c>
      <c r="E366" t="s">
        <v>2542</v>
      </c>
      <c r="F366" t="s">
        <v>2543</v>
      </c>
    </row>
    <row r="367" spans="1:6" x14ac:dyDescent="0.25">
      <c r="A367" t="s">
        <v>1678</v>
      </c>
      <c r="B367" t="str">
        <f>"16024915      "</f>
        <v xml:space="preserve">16024915      </v>
      </c>
      <c r="C367" t="s">
        <v>2544</v>
      </c>
      <c r="D367" t="s">
        <v>2544</v>
      </c>
      <c r="E367" t="s">
        <v>2545</v>
      </c>
      <c r="F367" t="s">
        <v>2546</v>
      </c>
    </row>
    <row r="368" spans="1:6" x14ac:dyDescent="0.25">
      <c r="A368" t="s">
        <v>1678</v>
      </c>
      <c r="B368" t="str">
        <f>"16024919      "</f>
        <v xml:space="preserve">16024919      </v>
      </c>
      <c r="C368" t="s">
        <v>16</v>
      </c>
      <c r="D368" t="s">
        <v>16</v>
      </c>
      <c r="E368" t="s">
        <v>2547</v>
      </c>
      <c r="F368" t="s">
        <v>2548</v>
      </c>
    </row>
    <row r="369" spans="1:6" x14ac:dyDescent="0.25">
      <c r="A369" t="s">
        <v>1678</v>
      </c>
      <c r="B369" t="str">
        <f>"16024930      "</f>
        <v xml:space="preserve">16024930      </v>
      </c>
      <c r="C369" t="s">
        <v>2549</v>
      </c>
      <c r="D369" t="s">
        <v>2549</v>
      </c>
      <c r="E369" t="s">
        <v>2550</v>
      </c>
      <c r="F369" t="s">
        <v>2551</v>
      </c>
    </row>
    <row r="370" spans="1:6" x14ac:dyDescent="0.25">
      <c r="A370" t="s">
        <v>1678</v>
      </c>
      <c r="B370" t="str">
        <f>"16024950      "</f>
        <v xml:space="preserve">16024950      </v>
      </c>
      <c r="C370" t="s">
        <v>2552</v>
      </c>
      <c r="D370" t="s">
        <v>2552</v>
      </c>
      <c r="E370" t="s">
        <v>2553</v>
      </c>
      <c r="F370" t="s">
        <v>2554</v>
      </c>
    </row>
    <row r="371" spans="1:6" x14ac:dyDescent="0.25">
      <c r="A371" t="s">
        <v>1678</v>
      </c>
      <c r="B371" t="str">
        <f>"16024990      "</f>
        <v xml:space="preserve">16024990      </v>
      </c>
      <c r="C371" t="s">
        <v>16</v>
      </c>
      <c r="D371" t="s">
        <v>16</v>
      </c>
      <c r="E371" t="s">
        <v>2555</v>
      </c>
      <c r="F371" t="s">
        <v>2556</v>
      </c>
    </row>
    <row r="372" spans="1:6" x14ac:dyDescent="0.25">
      <c r="A372" t="s">
        <v>1678</v>
      </c>
      <c r="B372" t="str">
        <f>"16025010      "</f>
        <v xml:space="preserve">16025010      </v>
      </c>
      <c r="C372" t="s">
        <v>2557</v>
      </c>
      <c r="D372" t="s">
        <v>2557</v>
      </c>
      <c r="E372" t="s">
        <v>2558</v>
      </c>
      <c r="F372" t="s">
        <v>2559</v>
      </c>
    </row>
    <row r="373" spans="1:6" x14ac:dyDescent="0.25">
      <c r="A373" t="s">
        <v>1678</v>
      </c>
      <c r="B373" t="str">
        <f>"16025031      "</f>
        <v xml:space="preserve">16025031      </v>
      </c>
      <c r="C373" t="s">
        <v>2560</v>
      </c>
      <c r="D373" t="s">
        <v>2560</v>
      </c>
      <c r="E373" t="s">
        <v>2561</v>
      </c>
      <c r="F373" t="s">
        <v>2562</v>
      </c>
    </row>
    <row r="374" spans="1:6" x14ac:dyDescent="0.25">
      <c r="A374" t="s">
        <v>1678</v>
      </c>
      <c r="B374" t="str">
        <f>"16025095      "</f>
        <v xml:space="preserve">16025095      </v>
      </c>
      <c r="C374" t="s">
        <v>16</v>
      </c>
      <c r="D374" t="s">
        <v>16</v>
      </c>
      <c r="E374" t="s">
        <v>2563</v>
      </c>
      <c r="F374" t="s">
        <v>2564</v>
      </c>
    </row>
    <row r="375" spans="1:6" x14ac:dyDescent="0.25">
      <c r="A375" t="s">
        <v>1678</v>
      </c>
      <c r="B375" t="str">
        <f>"16029010      "</f>
        <v xml:space="preserve">16029010      </v>
      </c>
      <c r="C375" t="s">
        <v>2565</v>
      </c>
      <c r="D375" t="s">
        <v>2565</v>
      </c>
      <c r="E375" t="s">
        <v>2566</v>
      </c>
      <c r="F375" t="s">
        <v>2567</v>
      </c>
    </row>
    <row r="376" spans="1:6" x14ac:dyDescent="0.25">
      <c r="A376" t="s">
        <v>1678</v>
      </c>
      <c r="B376" t="str">
        <f>"16029031      "</f>
        <v xml:space="preserve">16029031      </v>
      </c>
      <c r="C376" t="s">
        <v>2568</v>
      </c>
      <c r="D376" t="s">
        <v>2568</v>
      </c>
      <c r="E376" t="s">
        <v>2569</v>
      </c>
      <c r="F376" t="s">
        <v>2570</v>
      </c>
    </row>
    <row r="377" spans="1:6" x14ac:dyDescent="0.25">
      <c r="A377" t="s">
        <v>1678</v>
      </c>
      <c r="B377" t="str">
        <f>"16029051      "</f>
        <v xml:space="preserve">16029051      </v>
      </c>
      <c r="C377" t="s">
        <v>2571</v>
      </c>
      <c r="D377" t="s">
        <v>2571</v>
      </c>
      <c r="E377" t="s">
        <v>2572</v>
      </c>
      <c r="F377" t="s">
        <v>2573</v>
      </c>
    </row>
    <row r="378" spans="1:6" x14ac:dyDescent="0.25">
      <c r="A378" t="s">
        <v>1678</v>
      </c>
      <c r="B378" t="str">
        <f>"16029061      "</f>
        <v xml:space="preserve">16029061      </v>
      </c>
      <c r="C378" t="s">
        <v>2557</v>
      </c>
      <c r="D378" t="s">
        <v>2557</v>
      </c>
      <c r="E378" t="s">
        <v>2574</v>
      </c>
      <c r="F378" t="s">
        <v>2575</v>
      </c>
    </row>
    <row r="379" spans="1:6" x14ac:dyDescent="0.25">
      <c r="A379" t="s">
        <v>1678</v>
      </c>
      <c r="B379" t="str">
        <f>"16029069      "</f>
        <v xml:space="preserve">16029069      </v>
      </c>
      <c r="C379" t="s">
        <v>16</v>
      </c>
      <c r="D379" t="s">
        <v>16</v>
      </c>
      <c r="E379" t="s">
        <v>2576</v>
      </c>
      <c r="F379" t="s">
        <v>2577</v>
      </c>
    </row>
    <row r="380" spans="1:6" x14ac:dyDescent="0.25">
      <c r="A380" t="s">
        <v>1678</v>
      </c>
      <c r="B380" t="str">
        <f>"16029091      "</f>
        <v xml:space="preserve">16029091      </v>
      </c>
      <c r="C380" t="s">
        <v>2578</v>
      </c>
      <c r="D380" t="s">
        <v>2578</v>
      </c>
      <c r="E380" t="s">
        <v>2579</v>
      </c>
      <c r="F380" t="s">
        <v>2580</v>
      </c>
    </row>
    <row r="381" spans="1:6" x14ac:dyDescent="0.25">
      <c r="A381" t="s">
        <v>1678</v>
      </c>
      <c r="B381" t="str">
        <f>"16029095      "</f>
        <v xml:space="preserve">16029095      </v>
      </c>
      <c r="C381" t="s">
        <v>2581</v>
      </c>
      <c r="D381" t="s">
        <v>2581</v>
      </c>
      <c r="E381" t="s">
        <v>2582</v>
      </c>
      <c r="F381" t="s">
        <v>2583</v>
      </c>
    </row>
    <row r="382" spans="1:6" x14ac:dyDescent="0.25">
      <c r="A382" t="s">
        <v>1678</v>
      </c>
      <c r="B382" t="str">
        <f>"16029099      "</f>
        <v xml:space="preserve">16029099      </v>
      </c>
      <c r="C382" t="s">
        <v>16</v>
      </c>
      <c r="D382" t="s">
        <v>16</v>
      </c>
      <c r="E382" t="s">
        <v>2584</v>
      </c>
      <c r="F382" t="s">
        <v>2585</v>
      </c>
    </row>
    <row r="383" spans="1:6" x14ac:dyDescent="0.25">
      <c r="A383" t="s">
        <v>1678</v>
      </c>
      <c r="B383" t="str">
        <f>"16030010      "</f>
        <v xml:space="preserve">16030010      </v>
      </c>
      <c r="C383" t="s">
        <v>2586</v>
      </c>
      <c r="D383" t="s">
        <v>2586</v>
      </c>
      <c r="E383" t="s">
        <v>2587</v>
      </c>
      <c r="F383" t="s">
        <v>2588</v>
      </c>
    </row>
    <row r="384" spans="1:6" x14ac:dyDescent="0.25">
      <c r="A384" t="s">
        <v>1678</v>
      </c>
      <c r="B384" t="str">
        <f>"16030080      "</f>
        <v xml:space="preserve">16030080      </v>
      </c>
      <c r="C384" t="s">
        <v>16</v>
      </c>
      <c r="D384" t="s">
        <v>16</v>
      </c>
      <c r="E384" t="s">
        <v>2589</v>
      </c>
      <c r="F384" t="s">
        <v>2590</v>
      </c>
    </row>
    <row r="385" spans="1:6" x14ac:dyDescent="0.25">
      <c r="A385" t="s">
        <v>1678</v>
      </c>
      <c r="B385" t="str">
        <f>"16041100      "</f>
        <v xml:space="preserve">16041100      </v>
      </c>
      <c r="C385" t="s">
        <v>2591</v>
      </c>
      <c r="D385" t="s">
        <v>2591</v>
      </c>
      <c r="E385" t="s">
        <v>2592</v>
      </c>
      <c r="F385" t="s">
        <v>2593</v>
      </c>
    </row>
    <row r="386" spans="1:6" x14ac:dyDescent="0.25">
      <c r="A386" t="s">
        <v>1678</v>
      </c>
      <c r="B386" t="str">
        <f>"16041210      "</f>
        <v xml:space="preserve">16041210      </v>
      </c>
      <c r="C386" t="s">
        <v>2594</v>
      </c>
      <c r="D386" t="s">
        <v>2594</v>
      </c>
      <c r="E386" t="s">
        <v>2595</v>
      </c>
      <c r="F386" t="s">
        <v>2596</v>
      </c>
    </row>
    <row r="387" spans="1:6" x14ac:dyDescent="0.25">
      <c r="A387" t="s">
        <v>1678</v>
      </c>
      <c r="B387" t="str">
        <f>"16041291      "</f>
        <v xml:space="preserve">16041291      </v>
      </c>
      <c r="C387" t="s">
        <v>2597</v>
      </c>
      <c r="D387" t="s">
        <v>2597</v>
      </c>
      <c r="E387" t="s">
        <v>2598</v>
      </c>
      <c r="F387" t="s">
        <v>2599</v>
      </c>
    </row>
    <row r="388" spans="1:6" x14ac:dyDescent="0.25">
      <c r="A388" t="s">
        <v>1678</v>
      </c>
      <c r="B388" t="str">
        <f>"16041299      "</f>
        <v xml:space="preserve">16041299      </v>
      </c>
      <c r="C388" t="s">
        <v>16</v>
      </c>
      <c r="D388" t="s">
        <v>16</v>
      </c>
      <c r="E388" t="s">
        <v>2600</v>
      </c>
      <c r="F388" t="s">
        <v>2601</v>
      </c>
    </row>
    <row r="389" spans="1:6" x14ac:dyDescent="0.25">
      <c r="A389" t="s">
        <v>1678</v>
      </c>
      <c r="B389" t="str">
        <f>"16041311      "</f>
        <v xml:space="preserve">16041311      </v>
      </c>
      <c r="C389" t="s">
        <v>2602</v>
      </c>
      <c r="D389" t="s">
        <v>2602</v>
      </c>
      <c r="E389" t="s">
        <v>2603</v>
      </c>
      <c r="F389" t="s">
        <v>2604</v>
      </c>
    </row>
    <row r="390" spans="1:6" x14ac:dyDescent="0.25">
      <c r="A390" t="s">
        <v>1678</v>
      </c>
      <c r="B390" t="str">
        <f>"16041319      "</f>
        <v xml:space="preserve">16041319      </v>
      </c>
      <c r="C390" t="s">
        <v>16</v>
      </c>
      <c r="D390" t="s">
        <v>16</v>
      </c>
      <c r="E390" t="s">
        <v>2605</v>
      </c>
      <c r="F390" t="s">
        <v>2606</v>
      </c>
    </row>
    <row r="391" spans="1:6" x14ac:dyDescent="0.25">
      <c r="A391" t="s">
        <v>1678</v>
      </c>
      <c r="B391" t="str">
        <f>"16041390      "</f>
        <v xml:space="preserve">16041390      </v>
      </c>
      <c r="C391" t="s">
        <v>16</v>
      </c>
      <c r="D391" t="s">
        <v>16</v>
      </c>
      <c r="E391" t="s">
        <v>2607</v>
      </c>
      <c r="F391" t="s">
        <v>2608</v>
      </c>
    </row>
    <row r="392" spans="1:6" x14ac:dyDescent="0.25">
      <c r="A392" t="s">
        <v>1678</v>
      </c>
      <c r="B392" t="str">
        <f>"16041421      "</f>
        <v xml:space="preserve">16041421      </v>
      </c>
      <c r="C392" t="s">
        <v>2609</v>
      </c>
      <c r="D392" t="s">
        <v>2609</v>
      </c>
      <c r="E392" t="s">
        <v>2610</v>
      </c>
      <c r="F392" t="s">
        <v>2611</v>
      </c>
    </row>
    <row r="393" spans="1:6" x14ac:dyDescent="0.25">
      <c r="A393" t="s">
        <v>1678</v>
      </c>
      <c r="B393" t="str">
        <f>"16041426      "</f>
        <v xml:space="preserve">16041426      </v>
      </c>
      <c r="C393" t="s">
        <v>2612</v>
      </c>
      <c r="D393" t="s">
        <v>2612</v>
      </c>
      <c r="E393" t="s">
        <v>2613</v>
      </c>
      <c r="F393" t="s">
        <v>2614</v>
      </c>
    </row>
    <row r="394" spans="1:6" x14ac:dyDescent="0.25">
      <c r="A394" t="s">
        <v>1678</v>
      </c>
      <c r="B394" t="str">
        <f>"16041428      "</f>
        <v xml:space="preserve">16041428      </v>
      </c>
      <c r="C394" t="s">
        <v>16</v>
      </c>
      <c r="D394" t="s">
        <v>16</v>
      </c>
      <c r="E394" t="s">
        <v>2615</v>
      </c>
      <c r="F394" t="s">
        <v>2616</v>
      </c>
    </row>
    <row r="395" spans="1:6" x14ac:dyDescent="0.25">
      <c r="A395" t="s">
        <v>1678</v>
      </c>
      <c r="B395" t="str">
        <f>"16041431      "</f>
        <v xml:space="preserve">16041431      </v>
      </c>
      <c r="C395" t="s">
        <v>2609</v>
      </c>
      <c r="D395" t="s">
        <v>2609</v>
      </c>
      <c r="E395" t="s">
        <v>2617</v>
      </c>
      <c r="F395" t="s">
        <v>2618</v>
      </c>
    </row>
    <row r="396" spans="1:6" x14ac:dyDescent="0.25">
      <c r="A396" t="s">
        <v>1678</v>
      </c>
      <c r="B396" t="str">
        <f>"16041436      "</f>
        <v xml:space="preserve">16041436      </v>
      </c>
      <c r="C396" t="s">
        <v>2612</v>
      </c>
      <c r="D396" t="s">
        <v>2612</v>
      </c>
      <c r="E396" t="s">
        <v>2619</v>
      </c>
      <c r="F396" t="s">
        <v>2620</v>
      </c>
    </row>
    <row r="397" spans="1:6" x14ac:dyDescent="0.25">
      <c r="A397" t="s">
        <v>1678</v>
      </c>
      <c r="B397" t="str">
        <f>"16041438      "</f>
        <v xml:space="preserve">16041438      </v>
      </c>
      <c r="C397" t="s">
        <v>16</v>
      </c>
      <c r="D397" t="s">
        <v>16</v>
      </c>
      <c r="E397" t="s">
        <v>2621</v>
      </c>
      <c r="F397" t="s">
        <v>2622</v>
      </c>
    </row>
    <row r="398" spans="1:6" x14ac:dyDescent="0.25">
      <c r="A398" t="s">
        <v>1678</v>
      </c>
      <c r="B398" t="str">
        <f>"16041441      "</f>
        <v xml:space="preserve">16041441      </v>
      </c>
      <c r="C398" t="s">
        <v>2609</v>
      </c>
      <c r="D398" t="s">
        <v>2609</v>
      </c>
      <c r="E398" t="s">
        <v>2623</v>
      </c>
      <c r="F398" t="s">
        <v>2624</v>
      </c>
    </row>
    <row r="399" spans="1:6" x14ac:dyDescent="0.25">
      <c r="A399" t="s">
        <v>1678</v>
      </c>
      <c r="B399" t="str">
        <f>"16041446      "</f>
        <v xml:space="preserve">16041446      </v>
      </c>
      <c r="C399" t="s">
        <v>2612</v>
      </c>
      <c r="D399" t="s">
        <v>2612</v>
      </c>
      <c r="E399" t="s">
        <v>2625</v>
      </c>
      <c r="F399" t="s">
        <v>2626</v>
      </c>
    </row>
    <row r="400" spans="1:6" x14ac:dyDescent="0.25">
      <c r="A400" t="s">
        <v>1678</v>
      </c>
      <c r="B400" t="str">
        <f>"16041448      "</f>
        <v xml:space="preserve">16041448      </v>
      </c>
      <c r="C400" t="s">
        <v>16</v>
      </c>
      <c r="D400" t="s">
        <v>16</v>
      </c>
      <c r="E400" t="s">
        <v>2627</v>
      </c>
      <c r="F400" t="s">
        <v>2628</v>
      </c>
    </row>
    <row r="401" spans="1:6" x14ac:dyDescent="0.25">
      <c r="A401" t="s">
        <v>1678</v>
      </c>
      <c r="B401" t="str">
        <f>"16041490      "</f>
        <v xml:space="preserve">16041490      </v>
      </c>
      <c r="C401" t="s">
        <v>2629</v>
      </c>
      <c r="D401" t="s">
        <v>2629</v>
      </c>
      <c r="E401" t="s">
        <v>2630</v>
      </c>
      <c r="F401" t="s">
        <v>2631</v>
      </c>
    </row>
    <row r="402" spans="1:6" x14ac:dyDescent="0.25">
      <c r="A402" t="s">
        <v>1678</v>
      </c>
      <c r="B402" t="str">
        <f>"16041511      "</f>
        <v xml:space="preserve">16041511      </v>
      </c>
      <c r="C402" t="s">
        <v>2632</v>
      </c>
      <c r="D402" t="s">
        <v>2632</v>
      </c>
      <c r="E402" t="s">
        <v>2633</v>
      </c>
      <c r="F402" t="s">
        <v>2634</v>
      </c>
    </row>
    <row r="403" spans="1:6" x14ac:dyDescent="0.25">
      <c r="A403" t="s">
        <v>1678</v>
      </c>
      <c r="B403" t="str">
        <f>"16041519      "</f>
        <v xml:space="preserve">16041519      </v>
      </c>
      <c r="C403" t="s">
        <v>16</v>
      </c>
      <c r="D403" t="s">
        <v>16</v>
      </c>
      <c r="E403" t="s">
        <v>2635</v>
      </c>
      <c r="F403" t="s">
        <v>2636</v>
      </c>
    </row>
    <row r="404" spans="1:6" x14ac:dyDescent="0.25">
      <c r="A404" t="s">
        <v>1678</v>
      </c>
      <c r="B404" t="str">
        <f>"16041590      "</f>
        <v xml:space="preserve">16041590      </v>
      </c>
      <c r="C404" t="s">
        <v>2637</v>
      </c>
      <c r="D404" t="s">
        <v>2637</v>
      </c>
      <c r="E404" t="s">
        <v>2638</v>
      </c>
      <c r="F404" t="s">
        <v>2639</v>
      </c>
    </row>
    <row r="405" spans="1:6" x14ac:dyDescent="0.25">
      <c r="A405" t="s">
        <v>1678</v>
      </c>
      <c r="B405" t="str">
        <f>"16041600      "</f>
        <v xml:space="preserve">16041600      </v>
      </c>
      <c r="C405" t="s">
        <v>2640</v>
      </c>
      <c r="D405" t="s">
        <v>2640</v>
      </c>
      <c r="E405" t="s">
        <v>2641</v>
      </c>
      <c r="F405" t="s">
        <v>2642</v>
      </c>
    </row>
    <row r="406" spans="1:6" x14ac:dyDescent="0.25">
      <c r="A406" t="s">
        <v>1678</v>
      </c>
      <c r="B406" t="str">
        <f>"16041700      "</f>
        <v xml:space="preserve">16041700      </v>
      </c>
      <c r="C406" t="s">
        <v>2643</v>
      </c>
      <c r="D406" t="s">
        <v>2643</v>
      </c>
      <c r="E406" t="s">
        <v>2644</v>
      </c>
      <c r="F406" t="s">
        <v>2645</v>
      </c>
    </row>
    <row r="407" spans="1:6" x14ac:dyDescent="0.25">
      <c r="A407" t="s">
        <v>1678</v>
      </c>
      <c r="B407" t="str">
        <f>"16041800      "</f>
        <v xml:space="preserve">16041800      </v>
      </c>
      <c r="C407" t="s">
        <v>1850</v>
      </c>
      <c r="D407" t="s">
        <v>1850</v>
      </c>
      <c r="E407" t="s">
        <v>2646</v>
      </c>
      <c r="F407" t="s">
        <v>2647</v>
      </c>
    </row>
    <row r="408" spans="1:6" x14ac:dyDescent="0.25">
      <c r="A408" t="s">
        <v>1678</v>
      </c>
      <c r="B408" t="str">
        <f>"16041910      "</f>
        <v xml:space="preserve">16041910      </v>
      </c>
      <c r="C408" t="s">
        <v>2648</v>
      </c>
      <c r="D408" t="s">
        <v>2648</v>
      </c>
      <c r="E408" t="s">
        <v>2649</v>
      </c>
      <c r="F408" t="s">
        <v>2650</v>
      </c>
    </row>
    <row r="409" spans="1:6" x14ac:dyDescent="0.25">
      <c r="A409" t="s">
        <v>1678</v>
      </c>
      <c r="B409" t="str">
        <f>"16041931      "</f>
        <v xml:space="preserve">16041931      </v>
      </c>
      <c r="C409" t="s">
        <v>2612</v>
      </c>
      <c r="D409" t="s">
        <v>2612</v>
      </c>
      <c r="E409" t="s">
        <v>2651</v>
      </c>
      <c r="F409" t="s">
        <v>2652</v>
      </c>
    </row>
    <row r="410" spans="1:6" x14ac:dyDescent="0.25">
      <c r="A410" t="s">
        <v>1678</v>
      </c>
      <c r="B410" t="str">
        <f>"16041939      "</f>
        <v xml:space="preserve">16041939      </v>
      </c>
      <c r="C410" t="s">
        <v>16</v>
      </c>
      <c r="D410" t="s">
        <v>16</v>
      </c>
      <c r="E410" t="s">
        <v>2653</v>
      </c>
      <c r="F410" t="s">
        <v>2654</v>
      </c>
    </row>
    <row r="411" spans="1:6" x14ac:dyDescent="0.25">
      <c r="A411" t="s">
        <v>1678</v>
      </c>
      <c r="B411" t="str">
        <f>"16041950      "</f>
        <v xml:space="preserve">16041950      </v>
      </c>
      <c r="C411" t="s">
        <v>2655</v>
      </c>
      <c r="D411" t="s">
        <v>2655</v>
      </c>
      <c r="E411" t="s">
        <v>2656</v>
      </c>
      <c r="F411" t="s">
        <v>2657</v>
      </c>
    </row>
    <row r="412" spans="1:6" x14ac:dyDescent="0.25">
      <c r="A412" t="s">
        <v>1678</v>
      </c>
      <c r="B412" t="str">
        <f>"16041991      "</f>
        <v xml:space="preserve">16041991      </v>
      </c>
      <c r="C412" t="s">
        <v>2594</v>
      </c>
      <c r="D412" t="s">
        <v>2594</v>
      </c>
      <c r="E412" t="s">
        <v>2658</v>
      </c>
      <c r="F412" t="s">
        <v>2659</v>
      </c>
    </row>
    <row r="413" spans="1:6" x14ac:dyDescent="0.25">
      <c r="A413" t="s">
        <v>1678</v>
      </c>
      <c r="B413" t="str">
        <f>"16041992      "</f>
        <v xml:space="preserve">16041992      </v>
      </c>
      <c r="C413" t="s">
        <v>1834</v>
      </c>
      <c r="D413" t="s">
        <v>1834</v>
      </c>
      <c r="E413" t="s">
        <v>2660</v>
      </c>
      <c r="F413" t="s">
        <v>2661</v>
      </c>
    </row>
    <row r="414" spans="1:6" x14ac:dyDescent="0.25">
      <c r="A414" t="s">
        <v>1678</v>
      </c>
      <c r="B414" t="str">
        <f>"16041993      "</f>
        <v xml:space="preserve">16041993      </v>
      </c>
      <c r="C414" t="s">
        <v>2662</v>
      </c>
      <c r="D414" t="s">
        <v>2662</v>
      </c>
      <c r="E414" t="s">
        <v>2663</v>
      </c>
      <c r="F414" t="s">
        <v>2664</v>
      </c>
    </row>
    <row r="415" spans="1:6" x14ac:dyDescent="0.25">
      <c r="A415" t="s">
        <v>1678</v>
      </c>
      <c r="B415" t="str">
        <f>"16041994      "</f>
        <v xml:space="preserve">16041994      </v>
      </c>
      <c r="C415" t="s">
        <v>2665</v>
      </c>
      <c r="D415" t="s">
        <v>2665</v>
      </c>
      <c r="E415" t="s">
        <v>2666</v>
      </c>
      <c r="F415" t="s">
        <v>2667</v>
      </c>
    </row>
    <row r="416" spans="1:6" x14ac:dyDescent="0.25">
      <c r="A416" t="s">
        <v>1678</v>
      </c>
      <c r="B416" t="str">
        <f>"16041995      "</f>
        <v xml:space="preserve">16041995      </v>
      </c>
      <c r="C416" t="s">
        <v>2668</v>
      </c>
      <c r="D416" t="s">
        <v>2668</v>
      </c>
      <c r="E416" t="s">
        <v>2669</v>
      </c>
      <c r="F416" t="s">
        <v>2670</v>
      </c>
    </row>
    <row r="417" spans="1:6" x14ac:dyDescent="0.25">
      <c r="A417" t="s">
        <v>1678</v>
      </c>
      <c r="B417" t="str">
        <f>"16041997      "</f>
        <v xml:space="preserve">16041997      </v>
      </c>
      <c r="C417" t="s">
        <v>16</v>
      </c>
      <c r="D417" t="s">
        <v>16</v>
      </c>
      <c r="E417" t="s">
        <v>2671</v>
      </c>
      <c r="F417" t="s">
        <v>2672</v>
      </c>
    </row>
    <row r="418" spans="1:6" x14ac:dyDescent="0.25">
      <c r="A418" t="s">
        <v>1678</v>
      </c>
      <c r="B418" t="str">
        <f>"16042005      "</f>
        <v xml:space="preserve">16042005      </v>
      </c>
      <c r="C418" t="s">
        <v>2673</v>
      </c>
      <c r="D418" t="s">
        <v>2673</v>
      </c>
      <c r="E418" t="s">
        <v>2674</v>
      </c>
      <c r="F418" t="s">
        <v>2675</v>
      </c>
    </row>
    <row r="419" spans="1:6" x14ac:dyDescent="0.25">
      <c r="A419" t="s">
        <v>1678</v>
      </c>
      <c r="B419" t="str">
        <f>"16042010      "</f>
        <v xml:space="preserve">16042010      </v>
      </c>
      <c r="C419" t="s">
        <v>2676</v>
      </c>
      <c r="D419" t="s">
        <v>2676</v>
      </c>
      <c r="E419" t="s">
        <v>2677</v>
      </c>
      <c r="F419" t="s">
        <v>2678</v>
      </c>
    </row>
    <row r="420" spans="1:6" x14ac:dyDescent="0.25">
      <c r="A420" t="s">
        <v>1678</v>
      </c>
      <c r="B420" t="str">
        <f>"16042030      "</f>
        <v xml:space="preserve">16042030      </v>
      </c>
      <c r="C420" t="s">
        <v>2679</v>
      </c>
      <c r="D420" t="s">
        <v>2679</v>
      </c>
      <c r="E420" t="s">
        <v>2680</v>
      </c>
      <c r="F420" t="s">
        <v>2681</v>
      </c>
    </row>
    <row r="421" spans="1:6" x14ac:dyDescent="0.25">
      <c r="A421" t="s">
        <v>1678</v>
      </c>
      <c r="B421" t="str">
        <f>"16042040      "</f>
        <v xml:space="preserve">16042040      </v>
      </c>
      <c r="C421" t="s">
        <v>2682</v>
      </c>
      <c r="D421" t="s">
        <v>2682</v>
      </c>
      <c r="E421" t="s">
        <v>2683</v>
      </c>
      <c r="F421" t="s">
        <v>2684</v>
      </c>
    </row>
    <row r="422" spans="1:6" x14ac:dyDescent="0.25">
      <c r="A422" t="s">
        <v>1678</v>
      </c>
      <c r="B422" t="str">
        <f>"16042050      "</f>
        <v xml:space="preserve">16042050      </v>
      </c>
      <c r="C422" t="s">
        <v>2685</v>
      </c>
      <c r="D422" t="s">
        <v>2685</v>
      </c>
      <c r="E422" t="s">
        <v>2686</v>
      </c>
      <c r="F422" t="s">
        <v>2687</v>
      </c>
    </row>
    <row r="423" spans="1:6" x14ac:dyDescent="0.25">
      <c r="A423" t="s">
        <v>1678</v>
      </c>
      <c r="B423" t="str">
        <f>"16042070      "</f>
        <v xml:space="preserve">16042070      </v>
      </c>
      <c r="C423" t="s">
        <v>2688</v>
      </c>
      <c r="D423" t="s">
        <v>2689</v>
      </c>
      <c r="E423" t="s">
        <v>2690</v>
      </c>
      <c r="F423" t="s">
        <v>2691</v>
      </c>
    </row>
    <row r="424" spans="1:6" x14ac:dyDescent="0.25">
      <c r="A424" t="s">
        <v>1678</v>
      </c>
      <c r="B424" t="str">
        <f>"16042090      "</f>
        <v xml:space="preserve">16042090      </v>
      </c>
      <c r="C424" t="s">
        <v>2692</v>
      </c>
      <c r="D424" t="s">
        <v>2692</v>
      </c>
      <c r="E424" t="s">
        <v>2693</v>
      </c>
      <c r="F424" t="s">
        <v>2694</v>
      </c>
    </row>
    <row r="425" spans="1:6" x14ac:dyDescent="0.25">
      <c r="A425" t="s">
        <v>1678</v>
      </c>
      <c r="B425" t="str">
        <f>"16043100      "</f>
        <v xml:space="preserve">16043100      </v>
      </c>
      <c r="C425" t="s">
        <v>2695</v>
      </c>
      <c r="D425" t="s">
        <v>2695</v>
      </c>
      <c r="E425" t="s">
        <v>2696</v>
      </c>
      <c r="F425" t="s">
        <v>2697</v>
      </c>
    </row>
    <row r="426" spans="1:6" x14ac:dyDescent="0.25">
      <c r="A426" t="s">
        <v>1678</v>
      </c>
      <c r="B426" t="str">
        <f>"16043200      "</f>
        <v xml:space="preserve">16043200      </v>
      </c>
      <c r="C426" t="s">
        <v>2698</v>
      </c>
      <c r="D426" t="s">
        <v>2698</v>
      </c>
      <c r="E426" t="s">
        <v>2699</v>
      </c>
      <c r="F426" t="s">
        <v>2700</v>
      </c>
    </row>
    <row r="427" spans="1:6" x14ac:dyDescent="0.25">
      <c r="A427" t="s">
        <v>1678</v>
      </c>
      <c r="B427" t="str">
        <f>"16051000      "</f>
        <v xml:space="preserve">16051000      </v>
      </c>
      <c r="C427" t="s">
        <v>2701</v>
      </c>
      <c r="D427" t="s">
        <v>2701</v>
      </c>
      <c r="E427" t="s">
        <v>2702</v>
      </c>
      <c r="F427" t="s">
        <v>2703</v>
      </c>
    </row>
    <row r="428" spans="1:6" x14ac:dyDescent="0.25">
      <c r="A428" t="s">
        <v>1678</v>
      </c>
      <c r="B428" t="str">
        <f>"16052110      "</f>
        <v xml:space="preserve">16052110      </v>
      </c>
      <c r="C428" t="s">
        <v>2704</v>
      </c>
      <c r="D428" t="s">
        <v>2704</v>
      </c>
      <c r="E428" t="s">
        <v>2705</v>
      </c>
      <c r="F428" t="s">
        <v>2706</v>
      </c>
    </row>
    <row r="429" spans="1:6" x14ac:dyDescent="0.25">
      <c r="A429" t="s">
        <v>1678</v>
      </c>
      <c r="B429" t="str">
        <f>"16052190      "</f>
        <v xml:space="preserve">16052190      </v>
      </c>
      <c r="C429" t="s">
        <v>16</v>
      </c>
      <c r="D429" t="s">
        <v>16</v>
      </c>
      <c r="E429" t="s">
        <v>2707</v>
      </c>
      <c r="F429" t="s">
        <v>2708</v>
      </c>
    </row>
    <row r="430" spans="1:6" x14ac:dyDescent="0.25">
      <c r="A430" t="s">
        <v>1678</v>
      </c>
      <c r="B430" t="str">
        <f>"16052900      "</f>
        <v xml:space="preserve">16052900      </v>
      </c>
      <c r="C430" t="s">
        <v>16</v>
      </c>
      <c r="D430" t="s">
        <v>16</v>
      </c>
      <c r="E430" t="s">
        <v>2709</v>
      </c>
      <c r="F430" t="s">
        <v>2710</v>
      </c>
    </row>
    <row r="431" spans="1:6" x14ac:dyDescent="0.25">
      <c r="A431" t="s">
        <v>1678</v>
      </c>
      <c r="B431" t="str">
        <f>"16053010      "</f>
        <v xml:space="preserve">16053010      </v>
      </c>
      <c r="C431" t="s">
        <v>2711</v>
      </c>
      <c r="D431" t="s">
        <v>2711</v>
      </c>
      <c r="E431" t="s">
        <v>2712</v>
      </c>
      <c r="F431" t="s">
        <v>2713</v>
      </c>
    </row>
    <row r="432" spans="1:6" x14ac:dyDescent="0.25">
      <c r="A432" t="s">
        <v>1678</v>
      </c>
      <c r="B432" t="str">
        <f>"16053090      "</f>
        <v xml:space="preserve">16053090      </v>
      </c>
      <c r="C432" t="s">
        <v>16</v>
      </c>
      <c r="D432" t="s">
        <v>16</v>
      </c>
      <c r="E432" t="s">
        <v>2714</v>
      </c>
      <c r="F432" t="s">
        <v>2715</v>
      </c>
    </row>
    <row r="433" spans="1:6" x14ac:dyDescent="0.25">
      <c r="A433" t="s">
        <v>1678</v>
      </c>
      <c r="B433" t="str">
        <f>"16054000      "</f>
        <v xml:space="preserve">16054000      </v>
      </c>
      <c r="C433" t="s">
        <v>2716</v>
      </c>
      <c r="D433" t="s">
        <v>2716</v>
      </c>
      <c r="E433" t="s">
        <v>2717</v>
      </c>
      <c r="F433" t="s">
        <v>2718</v>
      </c>
    </row>
    <row r="434" spans="1:6" x14ac:dyDescent="0.25">
      <c r="A434" t="s">
        <v>1678</v>
      </c>
      <c r="B434" t="str">
        <f>"16055100      "</f>
        <v xml:space="preserve">16055100      </v>
      </c>
      <c r="C434" t="s">
        <v>2719</v>
      </c>
      <c r="D434" t="s">
        <v>2719</v>
      </c>
      <c r="E434" t="s">
        <v>2720</v>
      </c>
      <c r="F434" t="s">
        <v>2721</v>
      </c>
    </row>
    <row r="435" spans="1:6" x14ac:dyDescent="0.25">
      <c r="A435" t="s">
        <v>1678</v>
      </c>
      <c r="B435" t="str">
        <f>"16055200      "</f>
        <v xml:space="preserve">16055200      </v>
      </c>
      <c r="C435" t="s">
        <v>2722</v>
      </c>
      <c r="D435" t="s">
        <v>2722</v>
      </c>
      <c r="E435" t="s">
        <v>2723</v>
      </c>
      <c r="F435" t="s">
        <v>2724</v>
      </c>
    </row>
    <row r="436" spans="1:6" x14ac:dyDescent="0.25">
      <c r="A436" t="s">
        <v>1678</v>
      </c>
      <c r="B436" t="str">
        <f>"16055310      "</f>
        <v xml:space="preserve">16055310      </v>
      </c>
      <c r="C436" t="s">
        <v>2597</v>
      </c>
      <c r="D436" t="s">
        <v>2597</v>
      </c>
      <c r="E436" t="s">
        <v>2725</v>
      </c>
      <c r="F436" t="s">
        <v>2726</v>
      </c>
    </row>
    <row r="437" spans="1:6" x14ac:dyDescent="0.25">
      <c r="A437" t="s">
        <v>1678</v>
      </c>
      <c r="B437" t="str">
        <f>"16055390      "</f>
        <v xml:space="preserve">16055390      </v>
      </c>
      <c r="C437" t="s">
        <v>16</v>
      </c>
      <c r="D437" t="s">
        <v>16</v>
      </c>
      <c r="E437" t="s">
        <v>2727</v>
      </c>
      <c r="F437" t="s">
        <v>2728</v>
      </c>
    </row>
    <row r="438" spans="1:6" x14ac:dyDescent="0.25">
      <c r="A438" t="s">
        <v>1678</v>
      </c>
      <c r="B438" t="str">
        <f>"16055400      "</f>
        <v xml:space="preserve">16055400      </v>
      </c>
      <c r="C438" t="s">
        <v>2729</v>
      </c>
      <c r="D438" t="s">
        <v>2729</v>
      </c>
      <c r="E438" t="s">
        <v>2730</v>
      </c>
      <c r="F438" t="s">
        <v>2731</v>
      </c>
    </row>
    <row r="439" spans="1:6" x14ac:dyDescent="0.25">
      <c r="A439" t="s">
        <v>1678</v>
      </c>
      <c r="B439" t="str">
        <f>"16055500      "</f>
        <v xml:space="preserve">16055500      </v>
      </c>
      <c r="C439" t="s">
        <v>2732</v>
      </c>
      <c r="D439" t="s">
        <v>2732</v>
      </c>
      <c r="E439" t="s">
        <v>2733</v>
      </c>
      <c r="F439" t="s">
        <v>2734</v>
      </c>
    </row>
    <row r="440" spans="1:6" x14ac:dyDescent="0.25">
      <c r="A440" t="s">
        <v>1678</v>
      </c>
      <c r="B440" t="str">
        <f>"16055600      "</f>
        <v xml:space="preserve">16055600      </v>
      </c>
      <c r="C440" t="s">
        <v>2735</v>
      </c>
      <c r="D440" t="s">
        <v>2735</v>
      </c>
      <c r="E440" t="s">
        <v>2736</v>
      </c>
      <c r="F440" t="s">
        <v>2737</v>
      </c>
    </row>
    <row r="441" spans="1:6" x14ac:dyDescent="0.25">
      <c r="A441" t="s">
        <v>1678</v>
      </c>
      <c r="B441" t="str">
        <f>"16055700      "</f>
        <v xml:space="preserve">16055700      </v>
      </c>
      <c r="C441" t="s">
        <v>2738</v>
      </c>
      <c r="D441" t="s">
        <v>2738</v>
      </c>
      <c r="E441" t="s">
        <v>2739</v>
      </c>
      <c r="F441" t="s">
        <v>2740</v>
      </c>
    </row>
    <row r="442" spans="1:6" x14ac:dyDescent="0.25">
      <c r="A442" t="s">
        <v>1678</v>
      </c>
      <c r="B442" t="str">
        <f>"16055800      "</f>
        <v xml:space="preserve">16055800      </v>
      </c>
      <c r="C442" t="s">
        <v>2056</v>
      </c>
      <c r="D442" t="s">
        <v>2056</v>
      </c>
      <c r="E442" t="s">
        <v>2741</v>
      </c>
      <c r="F442" t="s">
        <v>2742</v>
      </c>
    </row>
    <row r="443" spans="1:6" x14ac:dyDescent="0.25">
      <c r="A443" t="s">
        <v>1678</v>
      </c>
      <c r="B443" t="str">
        <f>"16055900      "</f>
        <v xml:space="preserve">16055900      </v>
      </c>
      <c r="C443" t="s">
        <v>16</v>
      </c>
      <c r="D443" t="s">
        <v>16</v>
      </c>
      <c r="E443" t="s">
        <v>2743</v>
      </c>
      <c r="F443" t="s">
        <v>2744</v>
      </c>
    </row>
    <row r="444" spans="1:6" x14ac:dyDescent="0.25">
      <c r="A444" t="s">
        <v>1678</v>
      </c>
      <c r="B444" t="str">
        <f>"16056100      "</f>
        <v xml:space="preserve">16056100      </v>
      </c>
      <c r="C444" t="s">
        <v>2745</v>
      </c>
      <c r="D444" t="s">
        <v>2745</v>
      </c>
      <c r="E444" t="s">
        <v>2746</v>
      </c>
      <c r="F444" t="s">
        <v>2747</v>
      </c>
    </row>
    <row r="445" spans="1:6" x14ac:dyDescent="0.25">
      <c r="A445" t="s">
        <v>1678</v>
      </c>
      <c r="B445" t="str">
        <f>"16056200      "</f>
        <v xml:space="preserve">16056200      </v>
      </c>
      <c r="C445" t="s">
        <v>2748</v>
      </c>
      <c r="D445" t="s">
        <v>2748</v>
      </c>
      <c r="E445" t="s">
        <v>2749</v>
      </c>
      <c r="F445" t="s">
        <v>2750</v>
      </c>
    </row>
    <row r="446" spans="1:6" x14ac:dyDescent="0.25">
      <c r="A446" t="s">
        <v>1678</v>
      </c>
      <c r="B446" t="str">
        <f>"16056300      "</f>
        <v xml:space="preserve">16056300      </v>
      </c>
      <c r="C446" t="s">
        <v>2751</v>
      </c>
      <c r="D446" t="s">
        <v>2751</v>
      </c>
      <c r="E446" t="s">
        <v>2752</v>
      </c>
      <c r="F446" t="s">
        <v>2753</v>
      </c>
    </row>
    <row r="447" spans="1:6" x14ac:dyDescent="0.25">
      <c r="A447" t="s">
        <v>1678</v>
      </c>
      <c r="B447" t="str">
        <f>"16056900      "</f>
        <v xml:space="preserve">16056900      </v>
      </c>
      <c r="C447" t="s">
        <v>16</v>
      </c>
      <c r="D447" t="s">
        <v>16</v>
      </c>
      <c r="E447" t="s">
        <v>2754</v>
      </c>
      <c r="F447" t="s">
        <v>2755</v>
      </c>
    </row>
    <row r="448" spans="1:6" x14ac:dyDescent="0.25">
      <c r="A448" t="s">
        <v>1678</v>
      </c>
      <c r="B448" t="str">
        <f>"20089311      "</f>
        <v xml:space="preserve">20089311      </v>
      </c>
      <c r="C448" t="s">
        <v>2756</v>
      </c>
      <c r="D448" t="s">
        <v>2756</v>
      </c>
      <c r="E448" t="s">
        <v>2757</v>
      </c>
      <c r="F448" t="s">
        <v>2758</v>
      </c>
    </row>
    <row r="449" spans="1:6" x14ac:dyDescent="0.25">
      <c r="A449" t="s">
        <v>1678</v>
      </c>
      <c r="B449" t="str">
        <f>"20089319      "</f>
        <v xml:space="preserve">20089319      </v>
      </c>
      <c r="C449" t="s">
        <v>16</v>
      </c>
      <c r="D449" t="s">
        <v>16</v>
      </c>
      <c r="E449" t="s">
        <v>2759</v>
      </c>
      <c r="F449" t="s">
        <v>2760</v>
      </c>
    </row>
    <row r="450" spans="1:6" x14ac:dyDescent="0.25">
      <c r="A450" t="s">
        <v>1678</v>
      </c>
      <c r="B450" t="str">
        <f>"20089321      "</f>
        <v xml:space="preserve">20089321      </v>
      </c>
      <c r="C450" t="s">
        <v>2756</v>
      </c>
      <c r="D450" t="s">
        <v>2756</v>
      </c>
      <c r="E450" t="s">
        <v>2761</v>
      </c>
      <c r="F450" t="s">
        <v>2762</v>
      </c>
    </row>
    <row r="451" spans="1:6" x14ac:dyDescent="0.25">
      <c r="A451" t="s">
        <v>1678</v>
      </c>
      <c r="B451" t="str">
        <f>"20089329      "</f>
        <v xml:space="preserve">20089329      </v>
      </c>
      <c r="C451" t="s">
        <v>16</v>
      </c>
      <c r="D451" t="s">
        <v>16</v>
      </c>
      <c r="E451" t="s">
        <v>2763</v>
      </c>
      <c r="F451" t="s">
        <v>2764</v>
      </c>
    </row>
    <row r="452" spans="1:6" x14ac:dyDescent="0.25">
      <c r="A452" t="s">
        <v>1678</v>
      </c>
      <c r="B452" t="str">
        <f>"20089391      "</f>
        <v xml:space="preserve">20089391      </v>
      </c>
      <c r="C452" t="s">
        <v>2765</v>
      </c>
      <c r="D452" t="s">
        <v>2765</v>
      </c>
      <c r="E452" t="s">
        <v>2766</v>
      </c>
      <c r="F452" t="s">
        <v>2767</v>
      </c>
    </row>
    <row r="453" spans="1:6" x14ac:dyDescent="0.25">
      <c r="A453" t="s">
        <v>1678</v>
      </c>
      <c r="B453" t="str">
        <f>"20089393      "</f>
        <v xml:space="preserve">20089393      </v>
      </c>
      <c r="C453" t="s">
        <v>2768</v>
      </c>
      <c r="D453" t="s">
        <v>2768</v>
      </c>
      <c r="E453" t="s">
        <v>2769</v>
      </c>
      <c r="F453" t="s">
        <v>2770</v>
      </c>
    </row>
    <row r="454" spans="1:6" x14ac:dyDescent="0.25">
      <c r="A454" t="s">
        <v>1678</v>
      </c>
      <c r="B454" t="str">
        <f>"20089399      "</f>
        <v xml:space="preserve">20089399      </v>
      </c>
      <c r="C454" t="s">
        <v>2771</v>
      </c>
      <c r="D454" t="s">
        <v>2771</v>
      </c>
      <c r="E454" t="s">
        <v>2772</v>
      </c>
      <c r="F454" t="s">
        <v>2773</v>
      </c>
    </row>
    <row r="455" spans="1:6" x14ac:dyDescent="0.25">
      <c r="A455" t="s">
        <v>1678</v>
      </c>
      <c r="B455" t="str">
        <f>"20091111      "</f>
        <v xml:space="preserve">20091111      </v>
      </c>
      <c r="C455" t="s">
        <v>2774</v>
      </c>
      <c r="D455" t="s">
        <v>2774</v>
      </c>
      <c r="E455" t="s">
        <v>2775</v>
      </c>
      <c r="F455" t="s">
        <v>2776</v>
      </c>
    </row>
    <row r="456" spans="1:6" x14ac:dyDescent="0.25">
      <c r="A456" t="s">
        <v>1678</v>
      </c>
      <c r="B456" t="str">
        <f>"20091119      "</f>
        <v xml:space="preserve">20091119      </v>
      </c>
      <c r="C456" t="s">
        <v>16</v>
      </c>
      <c r="D456" t="s">
        <v>16</v>
      </c>
      <c r="E456" t="s">
        <v>2777</v>
      </c>
      <c r="F456" t="s">
        <v>2778</v>
      </c>
    </row>
    <row r="457" spans="1:6" x14ac:dyDescent="0.25">
      <c r="A457" t="s">
        <v>1678</v>
      </c>
      <c r="B457" t="str">
        <f>"20091191      "</f>
        <v xml:space="preserve">20091191      </v>
      </c>
      <c r="C457" t="s">
        <v>2779</v>
      </c>
      <c r="D457" t="s">
        <v>2779</v>
      </c>
      <c r="E457" t="s">
        <v>2780</v>
      </c>
      <c r="F457" t="s">
        <v>2781</v>
      </c>
    </row>
    <row r="458" spans="1:6" x14ac:dyDescent="0.25">
      <c r="A458" t="s">
        <v>1678</v>
      </c>
      <c r="B458" t="str">
        <f>"20091199      "</f>
        <v xml:space="preserve">20091199      </v>
      </c>
      <c r="C458" t="s">
        <v>16</v>
      </c>
      <c r="D458" t="s">
        <v>16</v>
      </c>
      <c r="E458" t="s">
        <v>2782</v>
      </c>
      <c r="F458" t="s">
        <v>2783</v>
      </c>
    </row>
    <row r="459" spans="1:6" x14ac:dyDescent="0.25">
      <c r="A459" t="s">
        <v>1678</v>
      </c>
      <c r="B459" t="str">
        <f>"20091200      "</f>
        <v xml:space="preserve">20091200      </v>
      </c>
      <c r="C459" t="s">
        <v>2784</v>
      </c>
      <c r="D459" t="s">
        <v>2784</v>
      </c>
      <c r="E459" t="s">
        <v>2785</v>
      </c>
      <c r="F459" t="s">
        <v>2786</v>
      </c>
    </row>
    <row r="460" spans="1:6" x14ac:dyDescent="0.25">
      <c r="A460" t="s">
        <v>1678</v>
      </c>
      <c r="B460" t="str">
        <f>"20091911      "</f>
        <v xml:space="preserve">20091911      </v>
      </c>
      <c r="C460" t="s">
        <v>2774</v>
      </c>
      <c r="D460" t="s">
        <v>2774</v>
      </c>
      <c r="E460" t="s">
        <v>2787</v>
      </c>
      <c r="F460" t="s">
        <v>2788</v>
      </c>
    </row>
    <row r="461" spans="1:6" x14ac:dyDescent="0.25">
      <c r="A461" t="s">
        <v>1678</v>
      </c>
      <c r="B461" t="str">
        <f>"20091919      "</f>
        <v xml:space="preserve">20091919      </v>
      </c>
      <c r="C461" t="s">
        <v>16</v>
      </c>
      <c r="D461" t="s">
        <v>16</v>
      </c>
      <c r="E461" t="s">
        <v>2789</v>
      </c>
      <c r="F461" t="s">
        <v>2790</v>
      </c>
    </row>
    <row r="462" spans="1:6" x14ac:dyDescent="0.25">
      <c r="A462" t="s">
        <v>1678</v>
      </c>
      <c r="B462" t="str">
        <f>"20091991      "</f>
        <v xml:space="preserve">20091991      </v>
      </c>
      <c r="C462" t="s">
        <v>2779</v>
      </c>
      <c r="D462" t="s">
        <v>2779</v>
      </c>
      <c r="E462" t="s">
        <v>2791</v>
      </c>
      <c r="F462" t="s">
        <v>2792</v>
      </c>
    </row>
    <row r="463" spans="1:6" x14ac:dyDescent="0.25">
      <c r="A463" t="s">
        <v>1678</v>
      </c>
      <c r="B463" t="str">
        <f>"20091998      "</f>
        <v xml:space="preserve">20091998      </v>
      </c>
      <c r="C463" t="s">
        <v>16</v>
      </c>
      <c r="D463" t="s">
        <v>16</v>
      </c>
      <c r="E463" t="s">
        <v>2793</v>
      </c>
      <c r="F463" t="s">
        <v>2794</v>
      </c>
    </row>
    <row r="464" spans="1:6" x14ac:dyDescent="0.25">
      <c r="A464" t="s">
        <v>1678</v>
      </c>
      <c r="B464" t="str">
        <f>"20092100      "</f>
        <v xml:space="preserve">20092100      </v>
      </c>
      <c r="C464" t="s">
        <v>2795</v>
      </c>
      <c r="D464" t="s">
        <v>2795</v>
      </c>
      <c r="E464" t="s">
        <v>2796</v>
      </c>
      <c r="F464" t="s">
        <v>2797</v>
      </c>
    </row>
    <row r="465" spans="1:6" x14ac:dyDescent="0.25">
      <c r="A465" t="s">
        <v>1678</v>
      </c>
      <c r="B465" t="str">
        <f>"20092911      "</f>
        <v xml:space="preserve">20092911      </v>
      </c>
      <c r="C465" t="s">
        <v>2774</v>
      </c>
      <c r="D465" t="s">
        <v>2774</v>
      </c>
      <c r="E465" t="s">
        <v>2798</v>
      </c>
      <c r="F465" t="s">
        <v>2799</v>
      </c>
    </row>
    <row r="466" spans="1:6" x14ac:dyDescent="0.25">
      <c r="A466" t="s">
        <v>1678</v>
      </c>
      <c r="B466" t="str">
        <f>"20092919      "</f>
        <v xml:space="preserve">20092919      </v>
      </c>
      <c r="C466" t="s">
        <v>16</v>
      </c>
      <c r="D466" t="s">
        <v>16</v>
      </c>
      <c r="E466" t="s">
        <v>2800</v>
      </c>
      <c r="F466" t="s">
        <v>2801</v>
      </c>
    </row>
    <row r="467" spans="1:6" x14ac:dyDescent="0.25">
      <c r="A467" t="s">
        <v>1678</v>
      </c>
      <c r="B467" t="str">
        <f>"20092991      "</f>
        <v xml:space="preserve">20092991      </v>
      </c>
      <c r="C467" t="s">
        <v>2779</v>
      </c>
      <c r="D467" t="s">
        <v>2779</v>
      </c>
      <c r="E467" t="s">
        <v>2802</v>
      </c>
      <c r="F467" t="s">
        <v>2803</v>
      </c>
    </row>
    <row r="468" spans="1:6" x14ac:dyDescent="0.25">
      <c r="A468" t="s">
        <v>1678</v>
      </c>
      <c r="B468" t="str">
        <f>"20092999      "</f>
        <v xml:space="preserve">20092999      </v>
      </c>
      <c r="C468" t="s">
        <v>16</v>
      </c>
      <c r="D468" t="s">
        <v>16</v>
      </c>
      <c r="E468" t="s">
        <v>2804</v>
      </c>
      <c r="F468" t="s">
        <v>2805</v>
      </c>
    </row>
    <row r="469" spans="1:6" x14ac:dyDescent="0.25">
      <c r="A469" t="s">
        <v>1678</v>
      </c>
      <c r="B469" t="str">
        <f>"20093111      "</f>
        <v xml:space="preserve">20093111      </v>
      </c>
      <c r="C469" t="s">
        <v>2806</v>
      </c>
      <c r="D469" t="s">
        <v>2806</v>
      </c>
      <c r="E469" t="s">
        <v>2807</v>
      </c>
      <c r="F469" t="s">
        <v>2808</v>
      </c>
    </row>
    <row r="470" spans="1:6" x14ac:dyDescent="0.25">
      <c r="A470" t="s">
        <v>1678</v>
      </c>
      <c r="B470" t="str">
        <f>"20093119      "</f>
        <v xml:space="preserve">20093119      </v>
      </c>
      <c r="C470" t="s">
        <v>2771</v>
      </c>
      <c r="D470" t="s">
        <v>2771</v>
      </c>
      <c r="E470" t="s">
        <v>2809</v>
      </c>
      <c r="F470" t="s">
        <v>2810</v>
      </c>
    </row>
    <row r="471" spans="1:6" x14ac:dyDescent="0.25">
      <c r="A471" t="s">
        <v>1678</v>
      </c>
      <c r="B471" t="str">
        <f>"20093151      "</f>
        <v xml:space="preserve">20093151      </v>
      </c>
      <c r="C471" t="s">
        <v>2806</v>
      </c>
      <c r="D471" t="s">
        <v>2806</v>
      </c>
      <c r="E471" t="s">
        <v>2811</v>
      </c>
      <c r="F471" t="s">
        <v>2812</v>
      </c>
    </row>
    <row r="472" spans="1:6" x14ac:dyDescent="0.25">
      <c r="A472" t="s">
        <v>1678</v>
      </c>
      <c r="B472" t="str">
        <f>"20093159      "</f>
        <v xml:space="preserve">20093159      </v>
      </c>
      <c r="C472" t="s">
        <v>2771</v>
      </c>
      <c r="D472" t="s">
        <v>2771</v>
      </c>
      <c r="E472" t="s">
        <v>2813</v>
      </c>
      <c r="F472" t="s">
        <v>2814</v>
      </c>
    </row>
    <row r="473" spans="1:6" x14ac:dyDescent="0.25">
      <c r="A473" t="s">
        <v>1678</v>
      </c>
      <c r="B473" t="str">
        <f>"20093191      "</f>
        <v xml:space="preserve">20093191      </v>
      </c>
      <c r="C473" t="s">
        <v>2806</v>
      </c>
      <c r="D473" t="s">
        <v>2806</v>
      </c>
      <c r="E473" t="s">
        <v>2815</v>
      </c>
      <c r="F473" t="s">
        <v>2816</v>
      </c>
    </row>
    <row r="474" spans="1:6" x14ac:dyDescent="0.25">
      <c r="A474" t="s">
        <v>1678</v>
      </c>
      <c r="B474" t="str">
        <f>"20093199      "</f>
        <v xml:space="preserve">20093199      </v>
      </c>
      <c r="C474" t="s">
        <v>2771</v>
      </c>
      <c r="D474" t="s">
        <v>2771</v>
      </c>
      <c r="E474" t="s">
        <v>2817</v>
      </c>
      <c r="F474" t="s">
        <v>2818</v>
      </c>
    </row>
    <row r="475" spans="1:6" x14ac:dyDescent="0.25">
      <c r="A475" t="s">
        <v>1678</v>
      </c>
      <c r="B475" t="str">
        <f>"20093911      "</f>
        <v xml:space="preserve">20093911      </v>
      </c>
      <c r="C475" t="s">
        <v>2774</v>
      </c>
      <c r="D475" t="s">
        <v>2774</v>
      </c>
      <c r="E475" t="s">
        <v>2819</v>
      </c>
      <c r="F475" t="s">
        <v>2820</v>
      </c>
    </row>
    <row r="476" spans="1:6" x14ac:dyDescent="0.25">
      <c r="A476" t="s">
        <v>1678</v>
      </c>
      <c r="B476" t="str">
        <f>"20093919      "</f>
        <v xml:space="preserve">20093919      </v>
      </c>
      <c r="C476" t="s">
        <v>16</v>
      </c>
      <c r="D476" t="s">
        <v>16</v>
      </c>
      <c r="E476" t="s">
        <v>2821</v>
      </c>
      <c r="F476" t="s">
        <v>2822</v>
      </c>
    </row>
    <row r="477" spans="1:6" x14ac:dyDescent="0.25">
      <c r="A477" t="s">
        <v>1678</v>
      </c>
      <c r="B477" t="str">
        <f>"20093931      "</f>
        <v xml:space="preserve">20093931      </v>
      </c>
      <c r="C477" t="s">
        <v>2806</v>
      </c>
      <c r="D477" t="s">
        <v>2806</v>
      </c>
      <c r="E477" t="s">
        <v>2823</v>
      </c>
      <c r="F477" t="s">
        <v>2824</v>
      </c>
    </row>
    <row r="478" spans="1:6" x14ac:dyDescent="0.25">
      <c r="A478" t="s">
        <v>1678</v>
      </c>
      <c r="B478" t="str">
        <f>"20093939      "</f>
        <v xml:space="preserve">20093939      </v>
      </c>
      <c r="C478" t="s">
        <v>2771</v>
      </c>
      <c r="D478" t="s">
        <v>2771</v>
      </c>
      <c r="E478" t="s">
        <v>2825</v>
      </c>
      <c r="F478" t="s">
        <v>2826</v>
      </c>
    </row>
    <row r="479" spans="1:6" x14ac:dyDescent="0.25">
      <c r="A479" t="s">
        <v>1678</v>
      </c>
      <c r="B479" t="str">
        <f>"20093951      "</f>
        <v xml:space="preserve">20093951      </v>
      </c>
      <c r="C479" t="s">
        <v>2827</v>
      </c>
      <c r="D479" t="s">
        <v>2827</v>
      </c>
      <c r="E479" t="s">
        <v>2828</v>
      </c>
      <c r="F479" t="s">
        <v>2829</v>
      </c>
    </row>
    <row r="480" spans="1:6" x14ac:dyDescent="0.25">
      <c r="A480" t="s">
        <v>1678</v>
      </c>
      <c r="B480" t="str">
        <f>"20093955      "</f>
        <v xml:space="preserve">20093955      </v>
      </c>
      <c r="C480" t="s">
        <v>2830</v>
      </c>
      <c r="D480" t="s">
        <v>2830</v>
      </c>
      <c r="E480" t="s">
        <v>2831</v>
      </c>
      <c r="F480" t="s">
        <v>2832</v>
      </c>
    </row>
    <row r="481" spans="1:6" x14ac:dyDescent="0.25">
      <c r="A481" t="s">
        <v>1678</v>
      </c>
      <c r="B481" t="str">
        <f>"20093959      "</f>
        <v xml:space="preserve">20093959      </v>
      </c>
      <c r="C481" t="s">
        <v>2771</v>
      </c>
      <c r="D481" t="s">
        <v>2771</v>
      </c>
      <c r="E481" t="s">
        <v>2833</v>
      </c>
      <c r="F481" t="s">
        <v>2834</v>
      </c>
    </row>
    <row r="482" spans="1:6" x14ac:dyDescent="0.25">
      <c r="A482" t="s">
        <v>1678</v>
      </c>
      <c r="B482" t="str">
        <f>"20093991      "</f>
        <v xml:space="preserve">20093991      </v>
      </c>
      <c r="C482" t="s">
        <v>2827</v>
      </c>
      <c r="D482" t="s">
        <v>2827</v>
      </c>
      <c r="E482" t="s">
        <v>2835</v>
      </c>
      <c r="F482" t="s">
        <v>2836</v>
      </c>
    </row>
    <row r="483" spans="1:6" x14ac:dyDescent="0.25">
      <c r="A483" t="s">
        <v>1678</v>
      </c>
      <c r="B483" t="str">
        <f>"20093995      "</f>
        <v xml:space="preserve">20093995      </v>
      </c>
      <c r="C483" t="s">
        <v>2830</v>
      </c>
      <c r="D483" t="s">
        <v>2830</v>
      </c>
      <c r="E483" t="s">
        <v>2837</v>
      </c>
      <c r="F483" t="s">
        <v>2838</v>
      </c>
    </row>
    <row r="484" spans="1:6" x14ac:dyDescent="0.25">
      <c r="A484" t="s">
        <v>1678</v>
      </c>
      <c r="B484" t="str">
        <f>"20093999      "</f>
        <v xml:space="preserve">20093999      </v>
      </c>
      <c r="C484" t="s">
        <v>2771</v>
      </c>
      <c r="D484" t="s">
        <v>2771</v>
      </c>
      <c r="E484" t="s">
        <v>2839</v>
      </c>
      <c r="F484" t="s">
        <v>2840</v>
      </c>
    </row>
    <row r="485" spans="1:6" x14ac:dyDescent="0.25">
      <c r="A485" t="s">
        <v>1678</v>
      </c>
      <c r="B485" t="str">
        <f>"20094192      "</f>
        <v xml:space="preserve">20094192      </v>
      </c>
      <c r="C485" t="s">
        <v>2806</v>
      </c>
      <c r="D485" t="s">
        <v>2806</v>
      </c>
      <c r="E485" t="s">
        <v>2841</v>
      </c>
      <c r="F485" t="s">
        <v>2842</v>
      </c>
    </row>
    <row r="486" spans="1:6" x14ac:dyDescent="0.25">
      <c r="A486" t="s">
        <v>1678</v>
      </c>
      <c r="B486" t="str">
        <f>"20094199      "</f>
        <v xml:space="preserve">20094199      </v>
      </c>
      <c r="C486" t="s">
        <v>2771</v>
      </c>
      <c r="D486" t="s">
        <v>2771</v>
      </c>
      <c r="E486" t="s">
        <v>2843</v>
      </c>
      <c r="F486" t="s">
        <v>2844</v>
      </c>
    </row>
    <row r="487" spans="1:6" x14ac:dyDescent="0.25">
      <c r="A487" t="s">
        <v>1678</v>
      </c>
      <c r="B487" t="str">
        <f>"20094911      "</f>
        <v xml:space="preserve">20094911      </v>
      </c>
      <c r="C487" t="s">
        <v>2774</v>
      </c>
      <c r="D487" t="s">
        <v>2774</v>
      </c>
      <c r="E487" t="s">
        <v>2845</v>
      </c>
      <c r="F487" t="s">
        <v>2846</v>
      </c>
    </row>
    <row r="488" spans="1:6" x14ac:dyDescent="0.25">
      <c r="A488" t="s">
        <v>1678</v>
      </c>
      <c r="B488" t="str">
        <f>"20094919      "</f>
        <v xml:space="preserve">20094919      </v>
      </c>
      <c r="C488" t="s">
        <v>16</v>
      </c>
      <c r="D488" t="s">
        <v>16</v>
      </c>
      <c r="E488" t="s">
        <v>2847</v>
      </c>
      <c r="F488" t="s">
        <v>2848</v>
      </c>
    </row>
    <row r="489" spans="1:6" x14ac:dyDescent="0.25">
      <c r="A489" t="s">
        <v>1678</v>
      </c>
      <c r="B489" t="str">
        <f>"20094930      "</f>
        <v xml:space="preserve">20094930      </v>
      </c>
      <c r="C489" t="s">
        <v>2849</v>
      </c>
      <c r="D489" t="s">
        <v>2849</v>
      </c>
      <c r="E489" t="s">
        <v>2850</v>
      </c>
      <c r="F489" t="s">
        <v>2851</v>
      </c>
    </row>
    <row r="490" spans="1:6" x14ac:dyDescent="0.25">
      <c r="A490" t="s">
        <v>1678</v>
      </c>
      <c r="B490" t="str">
        <f>"20094991      "</f>
        <v xml:space="preserve">20094991      </v>
      </c>
      <c r="C490" t="s">
        <v>2827</v>
      </c>
      <c r="D490" t="s">
        <v>2827</v>
      </c>
      <c r="E490" t="s">
        <v>2852</v>
      </c>
      <c r="F490" t="s">
        <v>2853</v>
      </c>
    </row>
    <row r="491" spans="1:6" x14ac:dyDescent="0.25">
      <c r="A491" t="s">
        <v>1678</v>
      </c>
      <c r="B491" t="str">
        <f>"20094993      "</f>
        <v xml:space="preserve">20094993      </v>
      </c>
      <c r="C491" t="s">
        <v>2830</v>
      </c>
      <c r="D491" t="s">
        <v>2830</v>
      </c>
      <c r="E491" t="s">
        <v>2854</v>
      </c>
      <c r="F491" t="s">
        <v>2855</v>
      </c>
    </row>
    <row r="492" spans="1:6" x14ac:dyDescent="0.25">
      <c r="A492" t="s">
        <v>1678</v>
      </c>
      <c r="B492" t="str">
        <f>"20094999      "</f>
        <v xml:space="preserve">20094999      </v>
      </c>
      <c r="C492" t="s">
        <v>2771</v>
      </c>
      <c r="D492" t="s">
        <v>2771</v>
      </c>
      <c r="E492" t="s">
        <v>2856</v>
      </c>
      <c r="F492" t="s">
        <v>2857</v>
      </c>
    </row>
    <row r="493" spans="1:6" x14ac:dyDescent="0.25">
      <c r="A493" t="s">
        <v>1678</v>
      </c>
      <c r="B493" t="str">
        <f>"20095010      "</f>
        <v xml:space="preserve">20095010      </v>
      </c>
      <c r="C493" t="s">
        <v>2806</v>
      </c>
      <c r="D493" t="s">
        <v>2806</v>
      </c>
      <c r="E493" t="s">
        <v>2858</v>
      </c>
      <c r="F493" t="s">
        <v>2859</v>
      </c>
    </row>
    <row r="494" spans="1:6" x14ac:dyDescent="0.25">
      <c r="A494" t="s">
        <v>1678</v>
      </c>
      <c r="B494" t="str">
        <f>"20095090      "</f>
        <v xml:space="preserve">20095090      </v>
      </c>
      <c r="C494" t="s">
        <v>16</v>
      </c>
      <c r="D494" t="s">
        <v>16</v>
      </c>
      <c r="E494" t="s">
        <v>2860</v>
      </c>
      <c r="F494" t="s">
        <v>2861</v>
      </c>
    </row>
    <row r="495" spans="1:6" x14ac:dyDescent="0.25">
      <c r="A495" t="s">
        <v>1678</v>
      </c>
      <c r="B495" t="str">
        <f>"20096110      "</f>
        <v xml:space="preserve">20096110      </v>
      </c>
      <c r="C495" t="s">
        <v>2862</v>
      </c>
      <c r="D495" t="s">
        <v>2862</v>
      </c>
      <c r="E495" t="s">
        <v>2863</v>
      </c>
      <c r="F495" t="s">
        <v>2864</v>
      </c>
    </row>
    <row r="496" spans="1:6" x14ac:dyDescent="0.25">
      <c r="A496" t="s">
        <v>1678</v>
      </c>
      <c r="B496" t="str">
        <f>"20096190      "</f>
        <v xml:space="preserve">20096190      </v>
      </c>
      <c r="C496" t="s">
        <v>2865</v>
      </c>
      <c r="D496" t="s">
        <v>2865</v>
      </c>
      <c r="E496" t="s">
        <v>2866</v>
      </c>
      <c r="F496" t="s">
        <v>2867</v>
      </c>
    </row>
    <row r="497" spans="1:6" x14ac:dyDescent="0.25">
      <c r="A497" t="s">
        <v>1678</v>
      </c>
      <c r="B497" t="str">
        <f>"20096911      "</f>
        <v xml:space="preserve">20096911      </v>
      </c>
      <c r="C497" t="s">
        <v>2868</v>
      </c>
      <c r="D497" t="s">
        <v>2868</v>
      </c>
      <c r="E497" t="s">
        <v>2869</v>
      </c>
      <c r="F497" t="s">
        <v>2870</v>
      </c>
    </row>
    <row r="498" spans="1:6" x14ac:dyDescent="0.25">
      <c r="A498" t="s">
        <v>1678</v>
      </c>
      <c r="B498" t="str">
        <f>"20096919      "</f>
        <v xml:space="preserve">20096919      </v>
      </c>
      <c r="C498" t="s">
        <v>16</v>
      </c>
      <c r="D498" t="s">
        <v>16</v>
      </c>
      <c r="E498" t="s">
        <v>2871</v>
      </c>
      <c r="F498" t="s">
        <v>2872</v>
      </c>
    </row>
    <row r="499" spans="1:6" x14ac:dyDescent="0.25">
      <c r="A499" t="s">
        <v>1678</v>
      </c>
      <c r="B499" t="str">
        <f>"20096951      "</f>
        <v xml:space="preserve">20096951      </v>
      </c>
      <c r="C499" t="s">
        <v>2873</v>
      </c>
      <c r="D499" t="s">
        <v>2873</v>
      </c>
      <c r="E499" t="s">
        <v>2874</v>
      </c>
      <c r="F499" t="s">
        <v>2875</v>
      </c>
    </row>
    <row r="500" spans="1:6" x14ac:dyDescent="0.25">
      <c r="A500" t="s">
        <v>1678</v>
      </c>
      <c r="B500" t="str">
        <f>"20096959      "</f>
        <v xml:space="preserve">20096959      </v>
      </c>
      <c r="C500" t="s">
        <v>16</v>
      </c>
      <c r="D500" t="s">
        <v>16</v>
      </c>
      <c r="E500" t="s">
        <v>2876</v>
      </c>
      <c r="F500" t="s">
        <v>2877</v>
      </c>
    </row>
    <row r="501" spans="1:6" x14ac:dyDescent="0.25">
      <c r="A501" t="s">
        <v>1678</v>
      </c>
      <c r="B501" t="str">
        <f>"20096971      "</f>
        <v xml:space="preserve">20096971      </v>
      </c>
      <c r="C501" t="s">
        <v>2873</v>
      </c>
      <c r="D501" t="s">
        <v>2873</v>
      </c>
      <c r="E501" t="s">
        <v>2878</v>
      </c>
      <c r="F501" t="s">
        <v>2879</v>
      </c>
    </row>
    <row r="502" spans="1:6" x14ac:dyDescent="0.25">
      <c r="A502" t="s">
        <v>1678</v>
      </c>
      <c r="B502" t="str">
        <f>"20096979      "</f>
        <v xml:space="preserve">20096979      </v>
      </c>
      <c r="C502" t="s">
        <v>16</v>
      </c>
      <c r="D502" t="s">
        <v>16</v>
      </c>
      <c r="E502" t="s">
        <v>2880</v>
      </c>
      <c r="F502" t="s">
        <v>2881</v>
      </c>
    </row>
    <row r="503" spans="1:6" x14ac:dyDescent="0.25">
      <c r="A503" t="s">
        <v>1678</v>
      </c>
      <c r="B503" t="str">
        <f>"20096990      "</f>
        <v xml:space="preserve">20096990      </v>
      </c>
      <c r="C503" t="s">
        <v>16</v>
      </c>
      <c r="D503" t="s">
        <v>16</v>
      </c>
      <c r="E503" t="s">
        <v>2882</v>
      </c>
      <c r="F503" t="s">
        <v>2883</v>
      </c>
    </row>
    <row r="504" spans="1:6" x14ac:dyDescent="0.25">
      <c r="A504" t="s">
        <v>1678</v>
      </c>
      <c r="B504" t="str">
        <f>"20097120      "</f>
        <v xml:space="preserve">20097120      </v>
      </c>
      <c r="C504" t="s">
        <v>2806</v>
      </c>
      <c r="D504" t="s">
        <v>2806</v>
      </c>
      <c r="E504" t="s">
        <v>2884</v>
      </c>
      <c r="F504" t="s">
        <v>2885</v>
      </c>
    </row>
    <row r="505" spans="1:6" x14ac:dyDescent="0.25">
      <c r="A505" t="s">
        <v>1678</v>
      </c>
      <c r="B505" t="str">
        <f>"20097199      "</f>
        <v xml:space="preserve">20097199      </v>
      </c>
      <c r="C505" t="s">
        <v>2771</v>
      </c>
      <c r="D505" t="s">
        <v>2771</v>
      </c>
      <c r="E505" t="s">
        <v>2886</v>
      </c>
      <c r="F505" t="s">
        <v>2887</v>
      </c>
    </row>
    <row r="506" spans="1:6" x14ac:dyDescent="0.25">
      <c r="A506" t="s">
        <v>1678</v>
      </c>
      <c r="B506" t="str">
        <f>"20097911      "</f>
        <v xml:space="preserve">20097911      </v>
      </c>
      <c r="C506" t="s">
        <v>2868</v>
      </c>
      <c r="D506" t="s">
        <v>2868</v>
      </c>
      <c r="E506" t="s">
        <v>2888</v>
      </c>
      <c r="F506" t="s">
        <v>2889</v>
      </c>
    </row>
    <row r="507" spans="1:6" x14ac:dyDescent="0.25">
      <c r="A507" t="s">
        <v>1678</v>
      </c>
      <c r="B507" t="str">
        <f>"20097919      "</f>
        <v xml:space="preserve">20097919      </v>
      </c>
      <c r="C507" t="s">
        <v>16</v>
      </c>
      <c r="D507" t="s">
        <v>16</v>
      </c>
      <c r="E507" t="s">
        <v>2890</v>
      </c>
      <c r="F507" t="s">
        <v>2891</v>
      </c>
    </row>
    <row r="508" spans="1:6" x14ac:dyDescent="0.25">
      <c r="A508" t="s">
        <v>1678</v>
      </c>
      <c r="B508" t="str">
        <f>"20097930      "</f>
        <v xml:space="preserve">20097930      </v>
      </c>
      <c r="C508" t="s">
        <v>2892</v>
      </c>
      <c r="D508" t="s">
        <v>2892</v>
      </c>
      <c r="E508" t="s">
        <v>2893</v>
      </c>
      <c r="F508" t="s">
        <v>2894</v>
      </c>
    </row>
    <row r="509" spans="1:6" x14ac:dyDescent="0.25">
      <c r="A509" t="s">
        <v>1678</v>
      </c>
      <c r="B509" t="str">
        <f>"20097991      "</f>
        <v xml:space="preserve">20097991      </v>
      </c>
      <c r="C509" t="s">
        <v>2827</v>
      </c>
      <c r="D509" t="s">
        <v>2827</v>
      </c>
      <c r="E509" t="s">
        <v>2895</v>
      </c>
      <c r="F509" t="s">
        <v>2896</v>
      </c>
    </row>
    <row r="510" spans="1:6" x14ac:dyDescent="0.25">
      <c r="A510" t="s">
        <v>1678</v>
      </c>
      <c r="B510" t="str">
        <f>"20097998      "</f>
        <v xml:space="preserve">20097998      </v>
      </c>
      <c r="C510" t="s">
        <v>16</v>
      </c>
      <c r="D510" t="s">
        <v>16</v>
      </c>
      <c r="E510" t="s">
        <v>2897</v>
      </c>
      <c r="F510" t="s">
        <v>2898</v>
      </c>
    </row>
    <row r="511" spans="1:6" x14ac:dyDescent="0.25">
      <c r="A511" t="s">
        <v>1678</v>
      </c>
      <c r="B511" t="str">
        <f>"20098111      "</f>
        <v xml:space="preserve">20098111      </v>
      </c>
      <c r="C511" t="s">
        <v>2774</v>
      </c>
      <c r="D511" t="s">
        <v>2774</v>
      </c>
      <c r="E511" t="s">
        <v>2899</v>
      </c>
      <c r="F511" t="s">
        <v>2900</v>
      </c>
    </row>
    <row r="512" spans="1:6" x14ac:dyDescent="0.25">
      <c r="A512" t="s">
        <v>1678</v>
      </c>
      <c r="B512" t="str">
        <f>"20098119      "</f>
        <v xml:space="preserve">20098119      </v>
      </c>
      <c r="C512" t="s">
        <v>16</v>
      </c>
      <c r="D512" t="s">
        <v>16</v>
      </c>
      <c r="E512" t="s">
        <v>2901</v>
      </c>
      <c r="F512" t="s">
        <v>2902</v>
      </c>
    </row>
    <row r="513" spans="1:6" x14ac:dyDescent="0.25">
      <c r="A513" t="s">
        <v>1678</v>
      </c>
      <c r="B513" t="str">
        <f>"20098131      "</f>
        <v xml:space="preserve">20098131      </v>
      </c>
      <c r="C513" t="s">
        <v>2849</v>
      </c>
      <c r="D513" t="s">
        <v>2849</v>
      </c>
      <c r="E513" t="s">
        <v>2903</v>
      </c>
      <c r="F513" t="s">
        <v>2904</v>
      </c>
    </row>
    <row r="514" spans="1:6" x14ac:dyDescent="0.25">
      <c r="A514" t="s">
        <v>1678</v>
      </c>
      <c r="B514" t="str">
        <f>"20098151      "</f>
        <v xml:space="preserve">20098151      </v>
      </c>
      <c r="C514" t="s">
        <v>2827</v>
      </c>
      <c r="D514" t="s">
        <v>2827</v>
      </c>
      <c r="E514" t="s">
        <v>2905</v>
      </c>
      <c r="F514" t="s">
        <v>2906</v>
      </c>
    </row>
    <row r="515" spans="1:6" x14ac:dyDescent="0.25">
      <c r="A515" t="s">
        <v>1678</v>
      </c>
      <c r="B515" t="str">
        <f>"20098159      "</f>
        <v xml:space="preserve">20098159      </v>
      </c>
      <c r="C515" t="s">
        <v>2830</v>
      </c>
      <c r="D515" t="s">
        <v>2830</v>
      </c>
      <c r="E515" t="s">
        <v>2907</v>
      </c>
      <c r="F515" t="s">
        <v>2908</v>
      </c>
    </row>
    <row r="516" spans="1:6" x14ac:dyDescent="0.25">
      <c r="A516" t="s">
        <v>1678</v>
      </c>
      <c r="B516" t="str">
        <f>"20098195      "</f>
        <v xml:space="preserve">20098195      </v>
      </c>
      <c r="C516" t="s">
        <v>2909</v>
      </c>
      <c r="D516" t="s">
        <v>2909</v>
      </c>
      <c r="E516" t="s">
        <v>2910</v>
      </c>
      <c r="F516" t="s">
        <v>2911</v>
      </c>
    </row>
    <row r="517" spans="1:6" x14ac:dyDescent="0.25">
      <c r="A517" t="s">
        <v>1678</v>
      </c>
      <c r="B517" t="str">
        <f>"20098199      "</f>
        <v xml:space="preserve">20098199      </v>
      </c>
      <c r="C517" t="s">
        <v>16</v>
      </c>
      <c r="D517" t="s">
        <v>16</v>
      </c>
      <c r="E517" t="s">
        <v>2912</v>
      </c>
      <c r="F517" t="s">
        <v>2913</v>
      </c>
    </row>
    <row r="518" spans="1:6" x14ac:dyDescent="0.25">
      <c r="A518" t="s">
        <v>1678</v>
      </c>
      <c r="B518" t="str">
        <f>"20098911      "</f>
        <v xml:space="preserve">20098911      </v>
      </c>
      <c r="C518" t="s">
        <v>2868</v>
      </c>
      <c r="D518" t="s">
        <v>2868</v>
      </c>
      <c r="E518" t="s">
        <v>2914</v>
      </c>
      <c r="F518" t="s">
        <v>2915</v>
      </c>
    </row>
    <row r="519" spans="1:6" x14ac:dyDescent="0.25">
      <c r="A519" t="s">
        <v>1678</v>
      </c>
      <c r="B519" t="str">
        <f>"20098919      "</f>
        <v xml:space="preserve">20098919      </v>
      </c>
      <c r="C519" t="s">
        <v>16</v>
      </c>
      <c r="D519" t="s">
        <v>16</v>
      </c>
      <c r="E519" t="s">
        <v>2916</v>
      </c>
      <c r="F519" t="s">
        <v>2917</v>
      </c>
    </row>
    <row r="520" spans="1:6" x14ac:dyDescent="0.25">
      <c r="A520" t="s">
        <v>1678</v>
      </c>
      <c r="B520" t="str">
        <f>"20098934      "</f>
        <v xml:space="preserve">20098934      </v>
      </c>
      <c r="C520" t="s">
        <v>2918</v>
      </c>
      <c r="D520" t="s">
        <v>2918</v>
      </c>
      <c r="E520" t="s">
        <v>2919</v>
      </c>
      <c r="F520" t="s">
        <v>2920</v>
      </c>
    </row>
    <row r="521" spans="1:6" x14ac:dyDescent="0.25">
      <c r="A521" t="s">
        <v>1678</v>
      </c>
      <c r="B521" t="str">
        <f>"20098935      "</f>
        <v xml:space="preserve">20098935      </v>
      </c>
      <c r="C521" t="s">
        <v>16</v>
      </c>
      <c r="D521" t="s">
        <v>16</v>
      </c>
      <c r="E521" t="s">
        <v>2921</v>
      </c>
      <c r="F521" t="s">
        <v>2922</v>
      </c>
    </row>
    <row r="522" spans="1:6" x14ac:dyDescent="0.25">
      <c r="A522" t="s">
        <v>1678</v>
      </c>
      <c r="B522" t="str">
        <f>"20098936      "</f>
        <v xml:space="preserve">20098936      </v>
      </c>
      <c r="C522" t="s">
        <v>2918</v>
      </c>
      <c r="D522" t="s">
        <v>2918</v>
      </c>
      <c r="E522" t="s">
        <v>2923</v>
      </c>
      <c r="F522" t="s">
        <v>2924</v>
      </c>
    </row>
    <row r="523" spans="1:6" x14ac:dyDescent="0.25">
      <c r="A523" t="s">
        <v>1678</v>
      </c>
      <c r="B523" t="str">
        <f>"20098938      "</f>
        <v xml:space="preserve">20098938      </v>
      </c>
      <c r="C523" t="s">
        <v>16</v>
      </c>
      <c r="D523" t="s">
        <v>16</v>
      </c>
      <c r="E523" t="s">
        <v>2925</v>
      </c>
      <c r="F523" t="s">
        <v>2926</v>
      </c>
    </row>
    <row r="524" spans="1:6" x14ac:dyDescent="0.25">
      <c r="A524" t="s">
        <v>1678</v>
      </c>
      <c r="B524" t="str">
        <f>"20098950      "</f>
        <v xml:space="preserve">20098950      </v>
      </c>
      <c r="C524" t="s">
        <v>2892</v>
      </c>
      <c r="D524" t="s">
        <v>2892</v>
      </c>
      <c r="E524" t="s">
        <v>2927</v>
      </c>
      <c r="F524" t="s">
        <v>2928</v>
      </c>
    </row>
    <row r="525" spans="1:6" x14ac:dyDescent="0.25">
      <c r="A525" t="s">
        <v>1678</v>
      </c>
      <c r="B525" t="str">
        <f>"20098961      "</f>
        <v xml:space="preserve">20098961      </v>
      </c>
      <c r="C525" t="s">
        <v>2827</v>
      </c>
      <c r="D525" t="s">
        <v>2827</v>
      </c>
      <c r="E525" t="s">
        <v>2929</v>
      </c>
      <c r="F525" t="s">
        <v>2930</v>
      </c>
    </row>
    <row r="526" spans="1:6" x14ac:dyDescent="0.25">
      <c r="A526" t="s">
        <v>1678</v>
      </c>
      <c r="B526" t="str">
        <f>"20098963      "</f>
        <v xml:space="preserve">20098963      </v>
      </c>
      <c r="C526" t="s">
        <v>2830</v>
      </c>
      <c r="D526" t="s">
        <v>2830</v>
      </c>
      <c r="E526" t="s">
        <v>2931</v>
      </c>
      <c r="F526" t="s">
        <v>2932</v>
      </c>
    </row>
    <row r="527" spans="1:6" x14ac:dyDescent="0.25">
      <c r="A527" t="s">
        <v>1678</v>
      </c>
      <c r="B527" t="str">
        <f>"20098969      "</f>
        <v xml:space="preserve">20098969      </v>
      </c>
      <c r="C527" t="s">
        <v>2771</v>
      </c>
      <c r="D527" t="s">
        <v>2771</v>
      </c>
      <c r="E527" t="s">
        <v>2933</v>
      </c>
      <c r="F527" t="s">
        <v>2934</v>
      </c>
    </row>
    <row r="528" spans="1:6" x14ac:dyDescent="0.25">
      <c r="A528" t="s">
        <v>1678</v>
      </c>
      <c r="B528" t="str">
        <f>"20098971      "</f>
        <v xml:space="preserve">20098971      </v>
      </c>
      <c r="C528" t="s">
        <v>2935</v>
      </c>
      <c r="D528" t="s">
        <v>2935</v>
      </c>
      <c r="E528" t="s">
        <v>2936</v>
      </c>
      <c r="F528" t="s">
        <v>2937</v>
      </c>
    </row>
    <row r="529" spans="1:6" x14ac:dyDescent="0.25">
      <c r="A529" t="s">
        <v>1678</v>
      </c>
      <c r="B529" t="str">
        <f>"20098973      "</f>
        <v xml:space="preserve">20098973      </v>
      </c>
      <c r="C529" t="s">
        <v>2918</v>
      </c>
      <c r="D529" t="s">
        <v>2918</v>
      </c>
      <c r="E529" t="s">
        <v>2938</v>
      </c>
      <c r="F529" t="s">
        <v>2939</v>
      </c>
    </row>
    <row r="530" spans="1:6" x14ac:dyDescent="0.25">
      <c r="A530" t="s">
        <v>1678</v>
      </c>
      <c r="B530" t="str">
        <f>"20098979      "</f>
        <v xml:space="preserve">20098979      </v>
      </c>
      <c r="C530" t="s">
        <v>16</v>
      </c>
      <c r="D530" t="s">
        <v>16</v>
      </c>
      <c r="E530" t="s">
        <v>2940</v>
      </c>
      <c r="F530" t="s">
        <v>2941</v>
      </c>
    </row>
    <row r="531" spans="1:6" x14ac:dyDescent="0.25">
      <c r="A531" t="s">
        <v>1678</v>
      </c>
      <c r="B531" t="str">
        <f>"20098985      "</f>
        <v xml:space="preserve">20098985      </v>
      </c>
      <c r="C531" t="s">
        <v>2918</v>
      </c>
      <c r="D531" t="s">
        <v>2918</v>
      </c>
      <c r="E531" t="s">
        <v>2942</v>
      </c>
      <c r="F531" t="s">
        <v>2943</v>
      </c>
    </row>
    <row r="532" spans="1:6" x14ac:dyDescent="0.25">
      <c r="A532" t="s">
        <v>1678</v>
      </c>
      <c r="B532" t="str">
        <f>"20098986      "</f>
        <v xml:space="preserve">20098986      </v>
      </c>
      <c r="C532" t="s">
        <v>16</v>
      </c>
      <c r="D532" t="s">
        <v>16</v>
      </c>
      <c r="E532" t="s">
        <v>2944</v>
      </c>
      <c r="F532" t="s">
        <v>2945</v>
      </c>
    </row>
    <row r="533" spans="1:6" x14ac:dyDescent="0.25">
      <c r="A533" t="s">
        <v>1678</v>
      </c>
      <c r="B533" t="str">
        <f>"20098988      "</f>
        <v xml:space="preserve">20098988      </v>
      </c>
      <c r="C533" t="s">
        <v>2918</v>
      </c>
      <c r="D533" t="s">
        <v>2918</v>
      </c>
      <c r="E533" t="s">
        <v>2946</v>
      </c>
      <c r="F533" t="s">
        <v>2947</v>
      </c>
    </row>
    <row r="534" spans="1:6" x14ac:dyDescent="0.25">
      <c r="A534" t="s">
        <v>1678</v>
      </c>
      <c r="B534" t="str">
        <f>"20098989      "</f>
        <v xml:space="preserve">20098989      </v>
      </c>
      <c r="C534" t="s">
        <v>16</v>
      </c>
      <c r="D534" t="s">
        <v>16</v>
      </c>
      <c r="E534" t="s">
        <v>2948</v>
      </c>
      <c r="F534" t="s">
        <v>2949</v>
      </c>
    </row>
    <row r="535" spans="1:6" x14ac:dyDescent="0.25">
      <c r="A535" t="s">
        <v>1678</v>
      </c>
      <c r="B535" t="str">
        <f>"20098996      "</f>
        <v xml:space="preserve">20098996      </v>
      </c>
      <c r="C535" t="s">
        <v>2935</v>
      </c>
      <c r="D535" t="s">
        <v>2935</v>
      </c>
      <c r="E535" t="s">
        <v>2950</v>
      </c>
      <c r="F535" t="s">
        <v>2951</v>
      </c>
    </row>
    <row r="536" spans="1:6" x14ac:dyDescent="0.25">
      <c r="A536" t="s">
        <v>1678</v>
      </c>
      <c r="B536" t="str">
        <f>"20098997      "</f>
        <v xml:space="preserve">20098997      </v>
      </c>
      <c r="C536" t="s">
        <v>2918</v>
      </c>
      <c r="D536" t="s">
        <v>2918</v>
      </c>
      <c r="E536" t="s">
        <v>2952</v>
      </c>
      <c r="F536" t="s">
        <v>2953</v>
      </c>
    </row>
    <row r="537" spans="1:6" x14ac:dyDescent="0.25">
      <c r="A537" t="s">
        <v>1678</v>
      </c>
      <c r="B537" t="str">
        <f>"20098999      "</f>
        <v xml:space="preserve">20098999      </v>
      </c>
      <c r="C537" t="s">
        <v>16</v>
      </c>
      <c r="D537" t="s">
        <v>16</v>
      </c>
      <c r="E537" t="s">
        <v>2954</v>
      </c>
      <c r="F537" t="s">
        <v>2955</v>
      </c>
    </row>
    <row r="538" spans="1:6" x14ac:dyDescent="0.25">
      <c r="A538" t="s">
        <v>1678</v>
      </c>
      <c r="B538" t="str">
        <f>"20099011      "</f>
        <v xml:space="preserve">20099011      </v>
      </c>
      <c r="C538" t="s">
        <v>2868</v>
      </c>
      <c r="D538" t="s">
        <v>2868</v>
      </c>
      <c r="E538" t="s">
        <v>2956</v>
      </c>
      <c r="F538" t="s">
        <v>2957</v>
      </c>
    </row>
    <row r="539" spans="1:6" x14ac:dyDescent="0.25">
      <c r="A539" t="s">
        <v>1678</v>
      </c>
      <c r="B539" t="str">
        <f>"20099019      "</f>
        <v xml:space="preserve">20099019      </v>
      </c>
      <c r="C539" t="s">
        <v>16</v>
      </c>
      <c r="D539" t="s">
        <v>16</v>
      </c>
      <c r="E539" t="s">
        <v>2958</v>
      </c>
      <c r="F539" t="s">
        <v>2959</v>
      </c>
    </row>
    <row r="540" spans="1:6" x14ac:dyDescent="0.25">
      <c r="A540" t="s">
        <v>1678</v>
      </c>
      <c r="B540" t="str">
        <f>"20099021      "</f>
        <v xml:space="preserve">20099021      </v>
      </c>
      <c r="C540" t="s">
        <v>2774</v>
      </c>
      <c r="D540" t="s">
        <v>2774</v>
      </c>
      <c r="E540" t="s">
        <v>2960</v>
      </c>
      <c r="F540" t="s">
        <v>2961</v>
      </c>
    </row>
    <row r="541" spans="1:6" x14ac:dyDescent="0.25">
      <c r="A541" t="s">
        <v>1678</v>
      </c>
      <c r="B541" t="str">
        <f>"20099029      "</f>
        <v xml:space="preserve">20099029      </v>
      </c>
      <c r="C541" t="s">
        <v>16</v>
      </c>
      <c r="D541" t="s">
        <v>16</v>
      </c>
      <c r="E541" t="s">
        <v>2962</v>
      </c>
      <c r="F541" t="s">
        <v>2963</v>
      </c>
    </row>
    <row r="542" spans="1:6" x14ac:dyDescent="0.25">
      <c r="A542" t="s">
        <v>1678</v>
      </c>
      <c r="B542" t="str">
        <f>"20099031      "</f>
        <v xml:space="preserve">20099031      </v>
      </c>
      <c r="C542" t="s">
        <v>2964</v>
      </c>
      <c r="D542" t="s">
        <v>2964</v>
      </c>
      <c r="E542" t="s">
        <v>2965</v>
      </c>
      <c r="F542" t="s">
        <v>2966</v>
      </c>
    </row>
    <row r="543" spans="1:6" x14ac:dyDescent="0.25">
      <c r="A543" t="s">
        <v>1678</v>
      </c>
      <c r="B543" t="str">
        <f>"20099039      "</f>
        <v xml:space="preserve">20099039      </v>
      </c>
      <c r="C543" t="s">
        <v>16</v>
      </c>
      <c r="D543" t="s">
        <v>16</v>
      </c>
      <c r="E543" t="s">
        <v>2967</v>
      </c>
      <c r="F543" t="s">
        <v>2968</v>
      </c>
    </row>
    <row r="544" spans="1:6" x14ac:dyDescent="0.25">
      <c r="A544" t="s">
        <v>1678</v>
      </c>
      <c r="B544" t="str">
        <f>"20099041      "</f>
        <v xml:space="preserve">20099041      </v>
      </c>
      <c r="C544" t="s">
        <v>2806</v>
      </c>
      <c r="D544" t="s">
        <v>2806</v>
      </c>
      <c r="E544" t="s">
        <v>2969</v>
      </c>
      <c r="F544" t="s">
        <v>2970</v>
      </c>
    </row>
    <row r="545" spans="1:6" x14ac:dyDescent="0.25">
      <c r="A545" t="s">
        <v>1678</v>
      </c>
      <c r="B545" t="str">
        <f>"20099049      "</f>
        <v xml:space="preserve">20099049      </v>
      </c>
      <c r="C545" t="s">
        <v>16</v>
      </c>
      <c r="D545" t="s">
        <v>16</v>
      </c>
      <c r="E545" t="s">
        <v>2971</v>
      </c>
      <c r="F545" t="s">
        <v>2972</v>
      </c>
    </row>
    <row r="546" spans="1:6" x14ac:dyDescent="0.25">
      <c r="A546" t="s">
        <v>1678</v>
      </c>
      <c r="B546" t="str">
        <f>"20099051      "</f>
        <v xml:space="preserve">20099051      </v>
      </c>
      <c r="C546" t="s">
        <v>2806</v>
      </c>
      <c r="D546" t="s">
        <v>2806</v>
      </c>
      <c r="E546" t="s">
        <v>2973</v>
      </c>
      <c r="F546" t="s">
        <v>2974</v>
      </c>
    </row>
    <row r="547" spans="1:6" x14ac:dyDescent="0.25">
      <c r="A547" t="s">
        <v>1678</v>
      </c>
      <c r="B547" t="str">
        <f>"20099059      "</f>
        <v xml:space="preserve">20099059      </v>
      </c>
      <c r="C547" t="s">
        <v>16</v>
      </c>
      <c r="D547" t="s">
        <v>16</v>
      </c>
      <c r="E547" t="s">
        <v>2975</v>
      </c>
      <c r="F547" t="s">
        <v>2976</v>
      </c>
    </row>
    <row r="548" spans="1:6" x14ac:dyDescent="0.25">
      <c r="A548" t="s">
        <v>1678</v>
      </c>
      <c r="B548" t="str">
        <f>"20099071      "</f>
        <v xml:space="preserve">20099071      </v>
      </c>
      <c r="C548" t="s">
        <v>2827</v>
      </c>
      <c r="D548" t="s">
        <v>2827</v>
      </c>
      <c r="E548" t="s">
        <v>2977</v>
      </c>
      <c r="F548" t="s">
        <v>2978</v>
      </c>
    </row>
    <row r="549" spans="1:6" x14ac:dyDescent="0.25">
      <c r="A549" t="s">
        <v>1678</v>
      </c>
      <c r="B549" t="str">
        <f>"20099073      "</f>
        <v xml:space="preserve">20099073      </v>
      </c>
      <c r="C549" t="s">
        <v>2830</v>
      </c>
      <c r="D549" t="s">
        <v>2830</v>
      </c>
      <c r="E549" t="s">
        <v>2979</v>
      </c>
      <c r="F549" t="s">
        <v>2980</v>
      </c>
    </row>
    <row r="550" spans="1:6" x14ac:dyDescent="0.25">
      <c r="A550" t="s">
        <v>1678</v>
      </c>
      <c r="B550" t="str">
        <f>"20099079      "</f>
        <v xml:space="preserve">20099079      </v>
      </c>
      <c r="C550" t="s">
        <v>2771</v>
      </c>
      <c r="D550" t="s">
        <v>2771</v>
      </c>
      <c r="E550" t="s">
        <v>2981</v>
      </c>
      <c r="F550" t="s">
        <v>2982</v>
      </c>
    </row>
    <row r="551" spans="1:6" x14ac:dyDescent="0.25">
      <c r="A551" t="s">
        <v>1678</v>
      </c>
      <c r="B551" t="str">
        <f>"20099092      "</f>
        <v xml:space="preserve">20099092      </v>
      </c>
      <c r="C551" t="s">
        <v>2983</v>
      </c>
      <c r="D551" t="s">
        <v>2983</v>
      </c>
      <c r="E551" t="s">
        <v>2984</v>
      </c>
      <c r="F551" t="s">
        <v>2985</v>
      </c>
    </row>
    <row r="552" spans="1:6" x14ac:dyDescent="0.25">
      <c r="A552" t="s">
        <v>1678</v>
      </c>
      <c r="B552" t="str">
        <f>"20099094      "</f>
        <v xml:space="preserve">20099094      </v>
      </c>
      <c r="C552" t="s">
        <v>16</v>
      </c>
      <c r="D552" t="s">
        <v>16</v>
      </c>
      <c r="E552" t="s">
        <v>2986</v>
      </c>
      <c r="F552" t="s">
        <v>2987</v>
      </c>
    </row>
    <row r="553" spans="1:6" x14ac:dyDescent="0.25">
      <c r="A553" t="s">
        <v>1678</v>
      </c>
      <c r="B553" t="str">
        <f>"20099095      "</f>
        <v xml:space="preserve">20099095      </v>
      </c>
      <c r="C553" t="s">
        <v>2983</v>
      </c>
      <c r="D553" t="s">
        <v>2983</v>
      </c>
      <c r="E553" t="s">
        <v>2988</v>
      </c>
      <c r="F553" t="s">
        <v>2989</v>
      </c>
    </row>
    <row r="554" spans="1:6" x14ac:dyDescent="0.25">
      <c r="A554" t="s">
        <v>1678</v>
      </c>
      <c r="B554" t="str">
        <f>"20099096      "</f>
        <v xml:space="preserve">20099096      </v>
      </c>
      <c r="C554" t="s">
        <v>16</v>
      </c>
      <c r="D554" t="s">
        <v>16</v>
      </c>
      <c r="E554" t="s">
        <v>2990</v>
      </c>
      <c r="F554" t="s">
        <v>2991</v>
      </c>
    </row>
    <row r="555" spans="1:6" x14ac:dyDescent="0.25">
      <c r="A555" t="s">
        <v>1678</v>
      </c>
      <c r="B555" t="str">
        <f>"20099097      "</f>
        <v xml:space="preserve">20099097      </v>
      </c>
      <c r="C555" t="s">
        <v>2983</v>
      </c>
      <c r="D555" t="s">
        <v>2983</v>
      </c>
      <c r="E555" t="s">
        <v>2992</v>
      </c>
      <c r="F555" t="s">
        <v>2993</v>
      </c>
    </row>
    <row r="556" spans="1:6" x14ac:dyDescent="0.25">
      <c r="A556" t="s">
        <v>1678</v>
      </c>
      <c r="B556" t="str">
        <f>"20099098      "</f>
        <v xml:space="preserve">20099098      </v>
      </c>
      <c r="C556" t="s">
        <v>16</v>
      </c>
      <c r="D556" t="s">
        <v>16</v>
      </c>
      <c r="E556" t="s">
        <v>2994</v>
      </c>
      <c r="F556" t="s">
        <v>2995</v>
      </c>
    </row>
    <row r="557" spans="1:6" x14ac:dyDescent="0.25">
      <c r="A557" t="s">
        <v>1678</v>
      </c>
      <c r="B557" t="str">
        <f>"22021000      "</f>
        <v xml:space="preserve">22021000      </v>
      </c>
      <c r="C557" t="s">
        <v>2996</v>
      </c>
      <c r="D557" t="s">
        <v>2996</v>
      </c>
      <c r="E557" t="s">
        <v>2997</v>
      </c>
      <c r="F557" t="s">
        <v>2998</v>
      </c>
    </row>
    <row r="558" spans="1:6" x14ac:dyDescent="0.25">
      <c r="A558" t="s">
        <v>1678</v>
      </c>
      <c r="B558" t="str">
        <f>"22029100      "</f>
        <v xml:space="preserve">22029100      </v>
      </c>
      <c r="C558" t="s">
        <v>2999</v>
      </c>
      <c r="D558" t="s">
        <v>2999</v>
      </c>
      <c r="E558" t="s">
        <v>3000</v>
      </c>
      <c r="F558" t="s">
        <v>3001</v>
      </c>
    </row>
    <row r="559" spans="1:6" x14ac:dyDescent="0.25">
      <c r="A559" t="s">
        <v>1678</v>
      </c>
      <c r="B559" t="str">
        <f>"22029911      "</f>
        <v xml:space="preserve">22029911      </v>
      </c>
      <c r="C559" t="s">
        <v>3002</v>
      </c>
      <c r="D559" t="s">
        <v>3002</v>
      </c>
      <c r="E559" t="s">
        <v>3003</v>
      </c>
      <c r="F559" t="s">
        <v>3004</v>
      </c>
    </row>
    <row r="560" spans="1:6" x14ac:dyDescent="0.25">
      <c r="A560" t="s">
        <v>1678</v>
      </c>
      <c r="B560" t="str">
        <f>"22029915      "</f>
        <v xml:space="preserve">22029915      </v>
      </c>
      <c r="C560" t="s">
        <v>3005</v>
      </c>
      <c r="D560" t="s">
        <v>3005</v>
      </c>
      <c r="E560" t="s">
        <v>3006</v>
      </c>
      <c r="F560" t="s">
        <v>3007</v>
      </c>
    </row>
    <row r="561" spans="1:6" x14ac:dyDescent="0.25">
      <c r="A561" t="s">
        <v>1678</v>
      </c>
      <c r="B561" t="str">
        <f>"22029919      "</f>
        <v xml:space="preserve">22029919      </v>
      </c>
      <c r="C561" t="s">
        <v>16</v>
      </c>
      <c r="D561" t="s">
        <v>16</v>
      </c>
      <c r="E561" t="s">
        <v>3008</v>
      </c>
      <c r="F561" t="s">
        <v>3009</v>
      </c>
    </row>
    <row r="562" spans="1:6" x14ac:dyDescent="0.25">
      <c r="A562" t="s">
        <v>1678</v>
      </c>
      <c r="B562" t="str">
        <f>"22029991      "</f>
        <v xml:space="preserve">22029991      </v>
      </c>
      <c r="C562" t="s">
        <v>3010</v>
      </c>
      <c r="D562" t="s">
        <v>3010</v>
      </c>
      <c r="E562" t="s">
        <v>3011</v>
      </c>
      <c r="F562" t="s">
        <v>3012</v>
      </c>
    </row>
    <row r="563" spans="1:6" x14ac:dyDescent="0.25">
      <c r="A563" t="s">
        <v>1678</v>
      </c>
      <c r="B563" t="str">
        <f>"22029995      "</f>
        <v xml:space="preserve">22029995      </v>
      </c>
      <c r="C563" t="s">
        <v>3013</v>
      </c>
      <c r="D563" t="s">
        <v>3013</v>
      </c>
      <c r="E563" t="s">
        <v>3014</v>
      </c>
      <c r="F563" t="s">
        <v>3015</v>
      </c>
    </row>
    <row r="564" spans="1:6" x14ac:dyDescent="0.25">
      <c r="A564" t="s">
        <v>1678</v>
      </c>
      <c r="B564" t="str">
        <f>"22029999      "</f>
        <v xml:space="preserve">22029999      </v>
      </c>
      <c r="C564" t="s">
        <v>3016</v>
      </c>
      <c r="D564" t="s">
        <v>3016</v>
      </c>
      <c r="E564" t="s">
        <v>3017</v>
      </c>
      <c r="F564" t="s">
        <v>3018</v>
      </c>
    </row>
    <row r="565" spans="1:6" x14ac:dyDescent="0.25">
      <c r="A565" t="s">
        <v>1678</v>
      </c>
      <c r="B565" t="str">
        <f>"23061000      "</f>
        <v xml:space="preserve">23061000      </v>
      </c>
      <c r="C565" t="s">
        <v>3019</v>
      </c>
      <c r="D565" t="s">
        <v>3019</v>
      </c>
      <c r="E565" t="s">
        <v>3020</v>
      </c>
      <c r="F565" t="s">
        <v>3021</v>
      </c>
    </row>
    <row r="566" spans="1:6" x14ac:dyDescent="0.25">
      <c r="A566" t="s">
        <v>1678</v>
      </c>
      <c r="B566" t="str">
        <f>"23062000      "</f>
        <v xml:space="preserve">23062000      </v>
      </c>
      <c r="C566" t="s">
        <v>3022</v>
      </c>
      <c r="D566" t="s">
        <v>3022</v>
      </c>
      <c r="E566" t="s">
        <v>3023</v>
      </c>
      <c r="F566" t="s">
        <v>3024</v>
      </c>
    </row>
    <row r="567" spans="1:6" x14ac:dyDescent="0.25">
      <c r="A567" t="s">
        <v>1678</v>
      </c>
      <c r="B567" t="str">
        <f>"23063000      "</f>
        <v xml:space="preserve">23063000      </v>
      </c>
      <c r="C567" t="s">
        <v>3025</v>
      </c>
      <c r="D567" t="s">
        <v>3025</v>
      </c>
      <c r="E567" t="s">
        <v>3026</v>
      </c>
      <c r="F567" t="s">
        <v>3027</v>
      </c>
    </row>
    <row r="568" spans="1:6" x14ac:dyDescent="0.25">
      <c r="A568" t="s">
        <v>1678</v>
      </c>
      <c r="B568" t="str">
        <f>"23064100      "</f>
        <v xml:space="preserve">23064100      </v>
      </c>
      <c r="C568" t="s">
        <v>3028</v>
      </c>
      <c r="D568" t="s">
        <v>3028</v>
      </c>
      <c r="E568" t="s">
        <v>3029</v>
      </c>
      <c r="F568" t="s">
        <v>3030</v>
      </c>
    </row>
    <row r="569" spans="1:6" x14ac:dyDescent="0.25">
      <c r="A569" t="s">
        <v>1678</v>
      </c>
      <c r="B569" t="str">
        <f>"23064900      "</f>
        <v xml:space="preserve">23064900      </v>
      </c>
      <c r="C569" t="s">
        <v>16</v>
      </c>
      <c r="D569" t="s">
        <v>16</v>
      </c>
      <c r="E569" t="s">
        <v>3031</v>
      </c>
      <c r="F569" t="s">
        <v>3032</v>
      </c>
    </row>
    <row r="570" spans="1:6" x14ac:dyDescent="0.25">
      <c r="A570" t="s">
        <v>1678</v>
      </c>
      <c r="B570" t="str">
        <f>"23065000      "</f>
        <v xml:space="preserve">23065000      </v>
      </c>
      <c r="C570" t="s">
        <v>3033</v>
      </c>
      <c r="D570" t="s">
        <v>3033</v>
      </c>
      <c r="E570" t="s">
        <v>3034</v>
      </c>
      <c r="F570" t="s">
        <v>3035</v>
      </c>
    </row>
    <row r="571" spans="1:6" x14ac:dyDescent="0.25">
      <c r="A571" t="s">
        <v>1678</v>
      </c>
      <c r="B571" t="str">
        <f>"23066000      "</f>
        <v xml:space="preserve">23066000      </v>
      </c>
      <c r="C571" t="s">
        <v>3036</v>
      </c>
      <c r="D571" t="s">
        <v>3036</v>
      </c>
      <c r="E571" t="s">
        <v>3037</v>
      </c>
      <c r="F571" t="s">
        <v>3038</v>
      </c>
    </row>
    <row r="572" spans="1:6" x14ac:dyDescent="0.25">
      <c r="A572" t="s">
        <v>1678</v>
      </c>
      <c r="B572" t="str">
        <f>"23069005      "</f>
        <v xml:space="preserve">23069005      </v>
      </c>
      <c r="C572" t="s">
        <v>3039</v>
      </c>
      <c r="D572" t="s">
        <v>3039</v>
      </c>
      <c r="E572" t="s">
        <v>3040</v>
      </c>
      <c r="F572" t="s">
        <v>3041</v>
      </c>
    </row>
    <row r="573" spans="1:6" x14ac:dyDescent="0.25">
      <c r="A573" t="s">
        <v>1678</v>
      </c>
      <c r="B573" t="str">
        <f>"23069011      "</f>
        <v xml:space="preserve">23069011      </v>
      </c>
      <c r="C573" t="s">
        <v>3042</v>
      </c>
      <c r="D573" t="s">
        <v>3042</v>
      </c>
      <c r="E573" t="s">
        <v>3043</v>
      </c>
      <c r="F573" t="s">
        <v>3044</v>
      </c>
    </row>
    <row r="574" spans="1:6" x14ac:dyDescent="0.25">
      <c r="A574" t="s">
        <v>1678</v>
      </c>
      <c r="B574" t="str">
        <f>"23069019      "</f>
        <v xml:space="preserve">23069019      </v>
      </c>
      <c r="C574" t="s">
        <v>3045</v>
      </c>
      <c r="D574" t="s">
        <v>3045</v>
      </c>
      <c r="E574" t="s">
        <v>3046</v>
      </c>
      <c r="F574" t="s">
        <v>3047</v>
      </c>
    </row>
    <row r="575" spans="1:6" x14ac:dyDescent="0.25">
      <c r="A575" t="s">
        <v>1678</v>
      </c>
      <c r="B575" t="str">
        <f>"23069090      "</f>
        <v xml:space="preserve">23069090      </v>
      </c>
      <c r="C575" t="s">
        <v>16</v>
      </c>
      <c r="D575" t="s">
        <v>16</v>
      </c>
      <c r="E575" t="s">
        <v>3048</v>
      </c>
      <c r="F575" t="s">
        <v>3049</v>
      </c>
    </row>
    <row r="576" spans="1:6" x14ac:dyDescent="0.25">
      <c r="A576" t="s">
        <v>1678</v>
      </c>
      <c r="B576" t="str">
        <f>"24011035      "</f>
        <v xml:space="preserve">24011035      </v>
      </c>
      <c r="C576" t="s">
        <v>3050</v>
      </c>
      <c r="D576" t="s">
        <v>3050</v>
      </c>
      <c r="E576" t="s">
        <v>3051</v>
      </c>
      <c r="F576" t="s">
        <v>3052</v>
      </c>
    </row>
    <row r="577" spans="1:6" x14ac:dyDescent="0.25">
      <c r="A577" t="s">
        <v>1678</v>
      </c>
      <c r="B577" t="str">
        <f>"24011060      "</f>
        <v xml:space="preserve">24011060      </v>
      </c>
      <c r="C577" t="s">
        <v>3053</v>
      </c>
      <c r="D577" t="s">
        <v>3053</v>
      </c>
      <c r="E577" t="s">
        <v>3054</v>
      </c>
      <c r="F577" t="s">
        <v>3055</v>
      </c>
    </row>
    <row r="578" spans="1:6" x14ac:dyDescent="0.25">
      <c r="A578" t="s">
        <v>1678</v>
      </c>
      <c r="B578" t="str">
        <f>"24011070      "</f>
        <v xml:space="preserve">24011070      </v>
      </c>
      <c r="C578" t="s">
        <v>3056</v>
      </c>
      <c r="D578" t="s">
        <v>3056</v>
      </c>
      <c r="E578" t="s">
        <v>3057</v>
      </c>
      <c r="F578" t="s">
        <v>3058</v>
      </c>
    </row>
    <row r="579" spans="1:6" x14ac:dyDescent="0.25">
      <c r="A579" t="s">
        <v>1678</v>
      </c>
      <c r="B579" t="str">
        <f>"24011085      "</f>
        <v xml:space="preserve">24011085      </v>
      </c>
      <c r="C579" t="s">
        <v>3059</v>
      </c>
      <c r="D579" t="s">
        <v>3059</v>
      </c>
      <c r="E579" t="s">
        <v>3060</v>
      </c>
      <c r="F579" t="s">
        <v>3061</v>
      </c>
    </row>
    <row r="580" spans="1:6" x14ac:dyDescent="0.25">
      <c r="A580" t="s">
        <v>1678</v>
      </c>
      <c r="B580" t="str">
        <f>"24011095      "</f>
        <v xml:space="preserve">24011095      </v>
      </c>
      <c r="C580" t="s">
        <v>16</v>
      </c>
      <c r="D580" t="s">
        <v>16</v>
      </c>
      <c r="E580" t="s">
        <v>3062</v>
      </c>
      <c r="F580" t="s">
        <v>3063</v>
      </c>
    </row>
    <row r="581" spans="1:6" x14ac:dyDescent="0.25">
      <c r="A581" t="s">
        <v>1678</v>
      </c>
      <c r="B581" t="str">
        <f>"24012035      "</f>
        <v xml:space="preserve">24012035      </v>
      </c>
      <c r="C581" t="s">
        <v>3050</v>
      </c>
      <c r="D581" t="s">
        <v>3050</v>
      </c>
      <c r="E581" t="s">
        <v>3064</v>
      </c>
      <c r="F581" t="s">
        <v>3065</v>
      </c>
    </row>
    <row r="582" spans="1:6" x14ac:dyDescent="0.25">
      <c r="A582" t="s">
        <v>1678</v>
      </c>
      <c r="B582" t="str">
        <f>"24012060      "</f>
        <v xml:space="preserve">24012060      </v>
      </c>
      <c r="C582" t="s">
        <v>3053</v>
      </c>
      <c r="D582" t="s">
        <v>3053</v>
      </c>
      <c r="E582" t="s">
        <v>3066</v>
      </c>
      <c r="F582" t="s">
        <v>3067</v>
      </c>
    </row>
    <row r="583" spans="1:6" x14ac:dyDescent="0.25">
      <c r="A583" t="s">
        <v>1678</v>
      </c>
      <c r="B583" t="str">
        <f>"24012070      "</f>
        <v xml:space="preserve">24012070      </v>
      </c>
      <c r="C583" t="s">
        <v>3056</v>
      </c>
      <c r="D583" t="s">
        <v>3056</v>
      </c>
      <c r="E583" t="s">
        <v>3068</v>
      </c>
      <c r="F583" t="s">
        <v>3069</v>
      </c>
    </row>
    <row r="584" spans="1:6" x14ac:dyDescent="0.25">
      <c r="A584" t="s">
        <v>1678</v>
      </c>
      <c r="B584" t="str">
        <f>"24012085      "</f>
        <v xml:space="preserve">24012085      </v>
      </c>
      <c r="C584" t="s">
        <v>3059</v>
      </c>
      <c r="D584" t="s">
        <v>3059</v>
      </c>
      <c r="E584" t="s">
        <v>3070</v>
      </c>
      <c r="F584" t="s">
        <v>3071</v>
      </c>
    </row>
    <row r="585" spans="1:6" x14ac:dyDescent="0.25">
      <c r="A585" t="s">
        <v>1678</v>
      </c>
      <c r="B585" t="str">
        <f>"24012095      "</f>
        <v xml:space="preserve">24012095      </v>
      </c>
      <c r="C585" t="s">
        <v>16</v>
      </c>
      <c r="D585" t="s">
        <v>16</v>
      </c>
      <c r="E585" t="s">
        <v>3072</v>
      </c>
      <c r="F585" t="s">
        <v>3073</v>
      </c>
    </row>
    <row r="586" spans="1:6" x14ac:dyDescent="0.25">
      <c r="A586" t="s">
        <v>1678</v>
      </c>
      <c r="B586" t="str">
        <f>"24013000      "</f>
        <v xml:space="preserve">24013000      </v>
      </c>
      <c r="C586" t="s">
        <v>3074</v>
      </c>
      <c r="D586" t="s">
        <v>3074</v>
      </c>
      <c r="E586" t="s">
        <v>3075</v>
      </c>
      <c r="F586" t="s">
        <v>3076</v>
      </c>
    </row>
    <row r="587" spans="1:6" x14ac:dyDescent="0.25">
      <c r="A587" t="s">
        <v>1678</v>
      </c>
      <c r="B587" t="str">
        <f>"24021000      "</f>
        <v xml:space="preserve">24021000      </v>
      </c>
      <c r="C587" t="s">
        <v>3077</v>
      </c>
      <c r="D587" t="s">
        <v>3077</v>
      </c>
      <c r="E587" t="s">
        <v>3078</v>
      </c>
      <c r="F587" t="s">
        <v>3079</v>
      </c>
    </row>
    <row r="588" spans="1:6" x14ac:dyDescent="0.25">
      <c r="A588" t="s">
        <v>1678</v>
      </c>
      <c r="B588" t="str">
        <f>"24022010      "</f>
        <v xml:space="preserve">24022010      </v>
      </c>
      <c r="C588" t="s">
        <v>3080</v>
      </c>
      <c r="D588" t="s">
        <v>3080</v>
      </c>
      <c r="E588" t="s">
        <v>3081</v>
      </c>
      <c r="F588" t="s">
        <v>3082</v>
      </c>
    </row>
    <row r="589" spans="1:6" x14ac:dyDescent="0.25">
      <c r="A589" t="s">
        <v>1678</v>
      </c>
      <c r="B589" t="str">
        <f>"24022090      "</f>
        <v xml:space="preserve">24022090      </v>
      </c>
      <c r="C589" t="s">
        <v>16</v>
      </c>
      <c r="D589" t="s">
        <v>16</v>
      </c>
      <c r="E589" t="s">
        <v>3083</v>
      </c>
      <c r="F589" t="s">
        <v>3084</v>
      </c>
    </row>
    <row r="590" spans="1:6" x14ac:dyDescent="0.25">
      <c r="A590" t="s">
        <v>1678</v>
      </c>
      <c r="B590" t="str">
        <f>"24029000      "</f>
        <v xml:space="preserve">24029000      </v>
      </c>
      <c r="C590" t="s">
        <v>16</v>
      </c>
      <c r="D590" t="s">
        <v>16</v>
      </c>
      <c r="E590" t="s">
        <v>3085</v>
      </c>
      <c r="F590" t="s">
        <v>3086</v>
      </c>
    </row>
    <row r="591" spans="1:6" x14ac:dyDescent="0.25">
      <c r="A591" t="s">
        <v>1678</v>
      </c>
      <c r="B591" t="str">
        <f>"24031100      "</f>
        <v xml:space="preserve">24031100      </v>
      </c>
      <c r="C591" t="s">
        <v>3087</v>
      </c>
      <c r="D591" t="s">
        <v>3087</v>
      </c>
      <c r="E591" t="s">
        <v>3088</v>
      </c>
      <c r="F591" t="s">
        <v>3089</v>
      </c>
    </row>
    <row r="592" spans="1:6" x14ac:dyDescent="0.25">
      <c r="A592" t="s">
        <v>1678</v>
      </c>
      <c r="B592" t="str">
        <f>"24031910      "</f>
        <v xml:space="preserve">24031910      </v>
      </c>
      <c r="C592" t="s">
        <v>3090</v>
      </c>
      <c r="D592" t="s">
        <v>3090</v>
      </c>
      <c r="E592" t="s">
        <v>3091</v>
      </c>
      <c r="F592" t="s">
        <v>3092</v>
      </c>
    </row>
    <row r="593" spans="1:6" x14ac:dyDescent="0.25">
      <c r="A593" t="s">
        <v>1678</v>
      </c>
      <c r="B593" t="str">
        <f>"24031990      "</f>
        <v xml:space="preserve">24031990      </v>
      </c>
      <c r="C593" t="s">
        <v>16</v>
      </c>
      <c r="D593" t="s">
        <v>16</v>
      </c>
      <c r="E593" t="s">
        <v>3093</v>
      </c>
      <c r="F593" t="s">
        <v>3094</v>
      </c>
    </row>
    <row r="594" spans="1:6" x14ac:dyDescent="0.25">
      <c r="A594" t="s">
        <v>1678</v>
      </c>
      <c r="B594" t="str">
        <f>"24039100      "</f>
        <v xml:space="preserve">24039100      </v>
      </c>
      <c r="C594" t="s">
        <v>3095</v>
      </c>
      <c r="D594" t="s">
        <v>3095</v>
      </c>
      <c r="E594" t="s">
        <v>3096</v>
      </c>
      <c r="F594" t="s">
        <v>3097</v>
      </c>
    </row>
    <row r="595" spans="1:6" x14ac:dyDescent="0.25">
      <c r="A595" t="s">
        <v>1678</v>
      </c>
      <c r="B595" t="str">
        <f>"24039910      "</f>
        <v xml:space="preserve">24039910      </v>
      </c>
      <c r="C595" t="s">
        <v>3098</v>
      </c>
      <c r="D595" t="s">
        <v>3098</v>
      </c>
      <c r="E595" t="s">
        <v>3099</v>
      </c>
      <c r="F595" t="s">
        <v>3100</v>
      </c>
    </row>
    <row r="596" spans="1:6" x14ac:dyDescent="0.25">
      <c r="A596" t="s">
        <v>1678</v>
      </c>
      <c r="B596" t="str">
        <f>"24039990      "</f>
        <v xml:space="preserve">24039990      </v>
      </c>
      <c r="C596" t="s">
        <v>16</v>
      </c>
      <c r="D596" t="s">
        <v>16</v>
      </c>
      <c r="E596" t="s">
        <v>3101</v>
      </c>
      <c r="F596" t="s">
        <v>3102</v>
      </c>
    </row>
    <row r="597" spans="1:6" x14ac:dyDescent="0.25">
      <c r="A597" t="s">
        <v>1678</v>
      </c>
      <c r="B597" t="str">
        <f>"25181000      "</f>
        <v xml:space="preserve">25181000      </v>
      </c>
      <c r="C597" t="s">
        <v>3103</v>
      </c>
      <c r="D597" t="s">
        <v>3103</v>
      </c>
      <c r="E597" t="s">
        <v>3104</v>
      </c>
      <c r="F597" t="s">
        <v>3105</v>
      </c>
    </row>
    <row r="598" spans="1:6" x14ac:dyDescent="0.25">
      <c r="A598" t="s">
        <v>1678</v>
      </c>
      <c r="B598" t="str">
        <f>"25182000      "</f>
        <v xml:space="preserve">25182000      </v>
      </c>
      <c r="C598" t="s">
        <v>3106</v>
      </c>
      <c r="D598" t="s">
        <v>3106</v>
      </c>
      <c r="E598" t="s">
        <v>3107</v>
      </c>
      <c r="F598" t="s">
        <v>3108</v>
      </c>
    </row>
    <row r="599" spans="1:6" x14ac:dyDescent="0.25">
      <c r="A599" t="s">
        <v>1678</v>
      </c>
      <c r="B599" t="str">
        <f>"29037100      "</f>
        <v xml:space="preserve">29037100      </v>
      </c>
      <c r="C599" t="s">
        <v>3109</v>
      </c>
      <c r="D599" t="s">
        <v>3110</v>
      </c>
      <c r="E599" t="s">
        <v>3111</v>
      </c>
      <c r="F599" t="s">
        <v>3112</v>
      </c>
    </row>
    <row r="600" spans="1:6" x14ac:dyDescent="0.25">
      <c r="A600" t="s">
        <v>1678</v>
      </c>
      <c r="B600" t="str">
        <f>"29037200      "</f>
        <v xml:space="preserve">29037200      </v>
      </c>
      <c r="C600" t="s">
        <v>3113</v>
      </c>
      <c r="D600" t="s">
        <v>3114</v>
      </c>
      <c r="E600" t="s">
        <v>3115</v>
      </c>
      <c r="F600" t="s">
        <v>3116</v>
      </c>
    </row>
    <row r="601" spans="1:6" x14ac:dyDescent="0.25">
      <c r="A601" t="s">
        <v>1678</v>
      </c>
      <c r="B601" t="str">
        <f>"29037300      "</f>
        <v xml:space="preserve">29037300      </v>
      </c>
      <c r="C601" t="s">
        <v>3117</v>
      </c>
      <c r="D601" t="s">
        <v>3118</v>
      </c>
      <c r="E601" t="s">
        <v>3119</v>
      </c>
      <c r="F601" t="s">
        <v>3120</v>
      </c>
    </row>
    <row r="602" spans="1:6" x14ac:dyDescent="0.25">
      <c r="A602" t="s">
        <v>1678</v>
      </c>
      <c r="B602" t="str">
        <f>"29037400      "</f>
        <v xml:space="preserve">29037400      </v>
      </c>
      <c r="C602" t="s">
        <v>3121</v>
      </c>
      <c r="D602" t="s">
        <v>3122</v>
      </c>
      <c r="E602" t="s">
        <v>3123</v>
      </c>
      <c r="F602" t="s">
        <v>3124</v>
      </c>
    </row>
    <row r="603" spans="1:6" x14ac:dyDescent="0.25">
      <c r="A603" t="s">
        <v>1678</v>
      </c>
      <c r="B603" t="str">
        <f>"29037500      "</f>
        <v xml:space="preserve">29037500      </v>
      </c>
      <c r="C603" t="s">
        <v>3125</v>
      </c>
      <c r="D603" t="s">
        <v>3126</v>
      </c>
      <c r="E603" t="s">
        <v>3127</v>
      </c>
      <c r="F603" t="s">
        <v>3128</v>
      </c>
    </row>
    <row r="604" spans="1:6" x14ac:dyDescent="0.25">
      <c r="A604" t="s">
        <v>1678</v>
      </c>
      <c r="B604" t="str">
        <f>"29037610      "</f>
        <v xml:space="preserve">29037610      </v>
      </c>
      <c r="C604" t="s">
        <v>3129</v>
      </c>
      <c r="D604" t="s">
        <v>3130</v>
      </c>
      <c r="E604" t="s">
        <v>3131</v>
      </c>
      <c r="F604" t="s">
        <v>3132</v>
      </c>
    </row>
    <row r="605" spans="1:6" x14ac:dyDescent="0.25">
      <c r="A605" t="s">
        <v>1678</v>
      </c>
      <c r="B605" t="str">
        <f>"29037620      "</f>
        <v xml:space="preserve">29037620      </v>
      </c>
      <c r="C605" t="s">
        <v>3133</v>
      </c>
      <c r="D605" t="s">
        <v>3134</v>
      </c>
      <c r="E605" t="s">
        <v>3135</v>
      </c>
      <c r="F605" t="s">
        <v>3136</v>
      </c>
    </row>
    <row r="606" spans="1:6" x14ac:dyDescent="0.25">
      <c r="A606" t="s">
        <v>1678</v>
      </c>
      <c r="B606" t="str">
        <f>"29037690      "</f>
        <v xml:space="preserve">29037690      </v>
      </c>
      <c r="C606" t="s">
        <v>3137</v>
      </c>
      <c r="D606" t="s">
        <v>3138</v>
      </c>
      <c r="E606" t="s">
        <v>3139</v>
      </c>
      <c r="F606" t="s">
        <v>3140</v>
      </c>
    </row>
    <row r="607" spans="1:6" x14ac:dyDescent="0.25">
      <c r="A607" t="s">
        <v>1678</v>
      </c>
      <c r="B607" t="str">
        <f>"29091100      "</f>
        <v xml:space="preserve">29091100      </v>
      </c>
      <c r="C607" t="s">
        <v>3141</v>
      </c>
      <c r="D607" t="s">
        <v>3141</v>
      </c>
      <c r="E607" t="s">
        <v>3142</v>
      </c>
      <c r="F607" t="s">
        <v>3143</v>
      </c>
    </row>
    <row r="608" spans="1:6" x14ac:dyDescent="0.25">
      <c r="A608" t="s">
        <v>1678</v>
      </c>
      <c r="B608" t="str">
        <f>"29091910      "</f>
        <v xml:space="preserve">29091910      </v>
      </c>
      <c r="C608" t="s">
        <v>3144</v>
      </c>
      <c r="D608" t="s">
        <v>3144</v>
      </c>
      <c r="E608" t="s">
        <v>3145</v>
      </c>
      <c r="F608" t="s">
        <v>3146</v>
      </c>
    </row>
    <row r="609" spans="1:6" x14ac:dyDescent="0.25">
      <c r="A609" t="s">
        <v>1678</v>
      </c>
      <c r="B609" t="str">
        <f>"29091990      "</f>
        <v xml:space="preserve">29091990      </v>
      </c>
      <c r="C609" t="s">
        <v>16</v>
      </c>
      <c r="D609" t="s">
        <v>16</v>
      </c>
      <c r="E609" t="s">
        <v>3147</v>
      </c>
      <c r="F609" t="s">
        <v>3148</v>
      </c>
    </row>
    <row r="610" spans="1:6" x14ac:dyDescent="0.25">
      <c r="A610" t="s">
        <v>1678</v>
      </c>
      <c r="B610" t="str">
        <f>"29092000      "</f>
        <v xml:space="preserve">29092000      </v>
      </c>
      <c r="C610" t="s">
        <v>3149</v>
      </c>
      <c r="D610" t="s">
        <v>3149</v>
      </c>
      <c r="E610" t="s">
        <v>3150</v>
      </c>
      <c r="F610" t="s">
        <v>3151</v>
      </c>
    </row>
    <row r="611" spans="1:6" x14ac:dyDescent="0.25">
      <c r="A611" t="s">
        <v>1678</v>
      </c>
      <c r="B611" t="str">
        <f>"29093010      "</f>
        <v xml:space="preserve">29093010      </v>
      </c>
      <c r="C611" t="s">
        <v>3152</v>
      </c>
      <c r="D611" t="s">
        <v>3152</v>
      </c>
      <c r="E611" t="s">
        <v>3153</v>
      </c>
      <c r="F611" t="s">
        <v>3154</v>
      </c>
    </row>
    <row r="612" spans="1:6" x14ac:dyDescent="0.25">
      <c r="A612" t="s">
        <v>1678</v>
      </c>
      <c r="B612" t="str">
        <f>"29093031      "</f>
        <v xml:space="preserve">29093031      </v>
      </c>
      <c r="C612" t="s">
        <v>3155</v>
      </c>
      <c r="D612" t="s">
        <v>3155</v>
      </c>
      <c r="E612" t="s">
        <v>3156</v>
      </c>
      <c r="F612" t="s">
        <v>3157</v>
      </c>
    </row>
    <row r="613" spans="1:6" x14ac:dyDescent="0.25">
      <c r="A613" t="s">
        <v>1678</v>
      </c>
      <c r="B613" t="str">
        <f>"29093035      "</f>
        <v xml:space="preserve">29093035      </v>
      </c>
      <c r="C613" t="s">
        <v>3158</v>
      </c>
      <c r="D613" t="s">
        <v>3158</v>
      </c>
      <c r="E613" t="s">
        <v>3159</v>
      </c>
      <c r="F613" t="s">
        <v>3160</v>
      </c>
    </row>
    <row r="614" spans="1:6" x14ac:dyDescent="0.25">
      <c r="A614" t="s">
        <v>1678</v>
      </c>
      <c r="B614" t="str">
        <f>"29093038      "</f>
        <v xml:space="preserve">29093038      </v>
      </c>
      <c r="C614" t="s">
        <v>16</v>
      </c>
      <c r="D614" t="s">
        <v>16</v>
      </c>
      <c r="E614" t="s">
        <v>3161</v>
      </c>
      <c r="F614" t="s">
        <v>3162</v>
      </c>
    </row>
    <row r="615" spans="1:6" x14ac:dyDescent="0.25">
      <c r="A615" t="s">
        <v>1678</v>
      </c>
      <c r="B615" t="str">
        <f>"29093090      "</f>
        <v xml:space="preserve">29093090      </v>
      </c>
      <c r="C615" t="s">
        <v>16</v>
      </c>
      <c r="D615" t="s">
        <v>16</v>
      </c>
      <c r="E615" t="s">
        <v>3163</v>
      </c>
      <c r="F615" t="s">
        <v>3164</v>
      </c>
    </row>
    <row r="616" spans="1:6" x14ac:dyDescent="0.25">
      <c r="A616" t="s">
        <v>1678</v>
      </c>
      <c r="B616" t="str">
        <f>"29094100      "</f>
        <v xml:space="preserve">29094100      </v>
      </c>
      <c r="C616" t="s">
        <v>3165</v>
      </c>
      <c r="D616" t="s">
        <v>3165</v>
      </c>
      <c r="E616" t="s">
        <v>3166</v>
      </c>
      <c r="F616" t="s">
        <v>3167</v>
      </c>
    </row>
    <row r="617" spans="1:6" x14ac:dyDescent="0.25">
      <c r="A617" t="s">
        <v>1678</v>
      </c>
      <c r="B617" t="str">
        <f>"29094300      "</f>
        <v xml:space="preserve">29094300      </v>
      </c>
      <c r="C617" t="s">
        <v>3168</v>
      </c>
      <c r="D617" t="s">
        <v>3168</v>
      </c>
      <c r="E617" t="s">
        <v>3169</v>
      </c>
      <c r="F617" t="s">
        <v>3170</v>
      </c>
    </row>
    <row r="618" spans="1:6" x14ac:dyDescent="0.25">
      <c r="A618" t="s">
        <v>1678</v>
      </c>
      <c r="B618" t="str">
        <f>"29094400      "</f>
        <v xml:space="preserve">29094400      </v>
      </c>
      <c r="C618" t="s">
        <v>3171</v>
      </c>
      <c r="D618" t="s">
        <v>3171</v>
      </c>
      <c r="E618" t="s">
        <v>3172</v>
      </c>
      <c r="F618" t="s">
        <v>3173</v>
      </c>
    </row>
    <row r="619" spans="1:6" x14ac:dyDescent="0.25">
      <c r="A619" t="s">
        <v>1678</v>
      </c>
      <c r="B619" t="str">
        <f>"29094911      "</f>
        <v xml:space="preserve">29094911      </v>
      </c>
      <c r="C619" t="s">
        <v>3174</v>
      </c>
      <c r="D619" t="s">
        <v>3174</v>
      </c>
      <c r="E619" t="s">
        <v>3175</v>
      </c>
      <c r="F619" t="s">
        <v>3176</v>
      </c>
    </row>
    <row r="620" spans="1:6" x14ac:dyDescent="0.25">
      <c r="A620" t="s">
        <v>1678</v>
      </c>
      <c r="B620" t="str">
        <f>"29094980      "</f>
        <v xml:space="preserve">29094980      </v>
      </c>
      <c r="C620" t="s">
        <v>16</v>
      </c>
      <c r="D620" t="s">
        <v>16</v>
      </c>
      <c r="E620" t="s">
        <v>3177</v>
      </c>
      <c r="F620" t="s">
        <v>3178</v>
      </c>
    </row>
    <row r="621" spans="1:6" x14ac:dyDescent="0.25">
      <c r="A621" t="s">
        <v>1678</v>
      </c>
      <c r="B621" t="str">
        <f>"29095000      "</f>
        <v xml:space="preserve">29095000      </v>
      </c>
      <c r="C621" t="s">
        <v>3179</v>
      </c>
      <c r="D621" t="s">
        <v>3179</v>
      </c>
      <c r="E621" t="s">
        <v>3180</v>
      </c>
      <c r="F621" t="s">
        <v>3181</v>
      </c>
    </row>
    <row r="622" spans="1:6" x14ac:dyDescent="0.25">
      <c r="A622" t="s">
        <v>1678</v>
      </c>
      <c r="B622" t="str">
        <f>"29333300      "</f>
        <v xml:space="preserve">29333300      </v>
      </c>
      <c r="C622" t="s">
        <v>3182</v>
      </c>
      <c r="D622" t="s">
        <v>3183</v>
      </c>
      <c r="E622" t="s">
        <v>3184</v>
      </c>
      <c r="F622" t="s">
        <v>3185</v>
      </c>
    </row>
    <row r="623" spans="1:6" x14ac:dyDescent="0.25">
      <c r="A623" t="s">
        <v>1678</v>
      </c>
      <c r="B623" t="str">
        <f>"29362400      "</f>
        <v xml:space="preserve">29362400      </v>
      </c>
      <c r="C623" t="s">
        <v>3186</v>
      </c>
      <c r="D623" t="s">
        <v>3187</v>
      </c>
      <c r="E623" t="s">
        <v>3188</v>
      </c>
      <c r="F623" t="s">
        <v>3189</v>
      </c>
    </row>
    <row r="624" spans="1:6" x14ac:dyDescent="0.25">
      <c r="A624" t="s">
        <v>1678</v>
      </c>
      <c r="B624" t="str">
        <f>"29394100      "</f>
        <v xml:space="preserve">29394100      </v>
      </c>
      <c r="C624" t="s">
        <v>3190</v>
      </c>
      <c r="D624" t="s">
        <v>3190</v>
      </c>
      <c r="E624" t="s">
        <v>3191</v>
      </c>
      <c r="F624" t="s">
        <v>3192</v>
      </c>
    </row>
    <row r="625" spans="1:6" x14ac:dyDescent="0.25">
      <c r="A625" t="s">
        <v>1678</v>
      </c>
      <c r="B625" t="str">
        <f>"29394200      "</f>
        <v xml:space="preserve">29394200      </v>
      </c>
      <c r="C625" t="s">
        <v>3193</v>
      </c>
      <c r="D625" t="s">
        <v>3193</v>
      </c>
      <c r="E625" t="s">
        <v>3194</v>
      </c>
      <c r="F625" t="s">
        <v>3195</v>
      </c>
    </row>
    <row r="626" spans="1:6" x14ac:dyDescent="0.25">
      <c r="A626" t="s">
        <v>1678</v>
      </c>
      <c r="B626" t="str">
        <f>"29394300      "</f>
        <v xml:space="preserve">29394300      </v>
      </c>
      <c r="C626" t="s">
        <v>3196</v>
      </c>
      <c r="D626" t="s">
        <v>3196</v>
      </c>
      <c r="E626" t="s">
        <v>3197</v>
      </c>
      <c r="F626" t="s">
        <v>3198</v>
      </c>
    </row>
    <row r="627" spans="1:6" x14ac:dyDescent="0.25">
      <c r="A627" t="s">
        <v>1678</v>
      </c>
      <c r="B627" t="str">
        <f>"29394400      "</f>
        <v xml:space="preserve">29394400      </v>
      </c>
      <c r="C627" t="s">
        <v>3199</v>
      </c>
      <c r="D627" t="s">
        <v>3199</v>
      </c>
      <c r="E627" t="s">
        <v>3200</v>
      </c>
      <c r="F627" t="s">
        <v>3201</v>
      </c>
    </row>
    <row r="628" spans="1:6" x14ac:dyDescent="0.25">
      <c r="A628" t="s">
        <v>1678</v>
      </c>
      <c r="B628" t="str">
        <f>"29394900      "</f>
        <v xml:space="preserve">29394900      </v>
      </c>
      <c r="C628" t="s">
        <v>16</v>
      </c>
      <c r="D628" t="s">
        <v>16</v>
      </c>
      <c r="E628" t="s">
        <v>3202</v>
      </c>
      <c r="F628" t="s">
        <v>3203</v>
      </c>
    </row>
    <row r="629" spans="1:6" x14ac:dyDescent="0.25">
      <c r="A629" t="s">
        <v>1678</v>
      </c>
      <c r="B629" t="str">
        <f>"30021200      "</f>
        <v xml:space="preserve">30021200      </v>
      </c>
      <c r="C629" t="s">
        <v>3204</v>
      </c>
      <c r="D629" t="s">
        <v>3204</v>
      </c>
      <c r="E629" t="s">
        <v>3205</v>
      </c>
      <c r="F629" t="s">
        <v>3206</v>
      </c>
    </row>
    <row r="630" spans="1:6" x14ac:dyDescent="0.25">
      <c r="A630" t="s">
        <v>1678</v>
      </c>
      <c r="B630" t="str">
        <f>"30021300      "</f>
        <v xml:space="preserve">30021300      </v>
      </c>
      <c r="C630" t="s">
        <v>3207</v>
      </c>
      <c r="D630" t="s">
        <v>3207</v>
      </c>
      <c r="E630" t="s">
        <v>3208</v>
      </c>
      <c r="F630" t="s">
        <v>3209</v>
      </c>
    </row>
    <row r="631" spans="1:6" x14ac:dyDescent="0.25">
      <c r="A631" t="s">
        <v>1678</v>
      </c>
      <c r="B631" t="str">
        <f>"30021400      "</f>
        <v xml:space="preserve">30021400      </v>
      </c>
      <c r="C631" t="s">
        <v>3210</v>
      </c>
      <c r="D631" t="s">
        <v>3210</v>
      </c>
      <c r="E631" t="s">
        <v>3211</v>
      </c>
      <c r="F631" t="s">
        <v>3212</v>
      </c>
    </row>
    <row r="632" spans="1:6" x14ac:dyDescent="0.25">
      <c r="A632" t="s">
        <v>1678</v>
      </c>
      <c r="B632" t="str">
        <f>"30021500      "</f>
        <v xml:space="preserve">30021500      </v>
      </c>
      <c r="C632" t="s">
        <v>3213</v>
      </c>
      <c r="D632" t="s">
        <v>3213</v>
      </c>
      <c r="E632" t="s">
        <v>3214</v>
      </c>
      <c r="F632" t="s">
        <v>3215</v>
      </c>
    </row>
    <row r="633" spans="1:6" x14ac:dyDescent="0.25">
      <c r="A633" t="s">
        <v>1678</v>
      </c>
      <c r="B633" t="str">
        <f>"30029010      "</f>
        <v xml:space="preserve">30029010      </v>
      </c>
      <c r="C633" t="s">
        <v>3216</v>
      </c>
      <c r="D633" t="s">
        <v>3216</v>
      </c>
      <c r="E633" t="s">
        <v>3217</v>
      </c>
      <c r="F633" t="s">
        <v>3218</v>
      </c>
    </row>
    <row r="634" spans="1:6" x14ac:dyDescent="0.25">
      <c r="A634" t="s">
        <v>1678</v>
      </c>
      <c r="B634" t="str">
        <f>"30029030      "</f>
        <v xml:space="preserve">30029030      </v>
      </c>
      <c r="C634" t="s">
        <v>3219</v>
      </c>
      <c r="D634" t="s">
        <v>3219</v>
      </c>
      <c r="E634" t="s">
        <v>3220</v>
      </c>
      <c r="F634" t="s">
        <v>3221</v>
      </c>
    </row>
    <row r="635" spans="1:6" x14ac:dyDescent="0.25">
      <c r="A635" t="s">
        <v>1678</v>
      </c>
      <c r="B635" t="str">
        <f>"30029090      "</f>
        <v xml:space="preserve">30029090      </v>
      </c>
      <c r="C635" t="s">
        <v>16</v>
      </c>
      <c r="D635" t="s">
        <v>16</v>
      </c>
      <c r="E635" t="s">
        <v>3222</v>
      </c>
      <c r="F635" t="s">
        <v>3223</v>
      </c>
    </row>
    <row r="636" spans="1:6" x14ac:dyDescent="0.25">
      <c r="A636" t="s">
        <v>1678</v>
      </c>
      <c r="B636" t="str">
        <f>"39209921      "</f>
        <v xml:space="preserve">39209921      </v>
      </c>
      <c r="C636" t="s">
        <v>3224</v>
      </c>
      <c r="D636" t="s">
        <v>3225</v>
      </c>
      <c r="E636" t="s">
        <v>3226</v>
      </c>
      <c r="F636" t="s">
        <v>3227</v>
      </c>
    </row>
    <row r="637" spans="1:6" x14ac:dyDescent="0.25">
      <c r="A637" t="s">
        <v>1678</v>
      </c>
      <c r="B637" t="str">
        <f>"44032110      "</f>
        <v xml:space="preserve">44032110      </v>
      </c>
      <c r="C637" t="s">
        <v>3228</v>
      </c>
      <c r="D637" t="s">
        <v>3228</v>
      </c>
      <c r="E637" t="s">
        <v>3229</v>
      </c>
      <c r="F637" t="s">
        <v>3230</v>
      </c>
    </row>
    <row r="638" spans="1:6" x14ac:dyDescent="0.25">
      <c r="A638" t="s">
        <v>1678</v>
      </c>
      <c r="B638" t="str">
        <f>"44032190      "</f>
        <v xml:space="preserve">44032190      </v>
      </c>
      <c r="C638" t="s">
        <v>16</v>
      </c>
      <c r="D638" t="s">
        <v>16</v>
      </c>
      <c r="E638" t="s">
        <v>3231</v>
      </c>
      <c r="F638" t="s">
        <v>3232</v>
      </c>
    </row>
    <row r="639" spans="1:6" x14ac:dyDescent="0.25">
      <c r="A639" t="s">
        <v>1678</v>
      </c>
      <c r="B639" t="str">
        <f>"44032310      "</f>
        <v xml:space="preserve">44032310      </v>
      </c>
      <c r="C639" t="s">
        <v>3228</v>
      </c>
      <c r="D639" t="s">
        <v>3228</v>
      </c>
      <c r="E639" t="s">
        <v>3233</v>
      </c>
      <c r="F639" t="s">
        <v>3234</v>
      </c>
    </row>
    <row r="640" spans="1:6" x14ac:dyDescent="0.25">
      <c r="A640" t="s">
        <v>1678</v>
      </c>
      <c r="B640" t="str">
        <f>"44032390      "</f>
        <v xml:space="preserve">44032390      </v>
      </c>
      <c r="C640" t="s">
        <v>16</v>
      </c>
      <c r="D640" t="s">
        <v>16</v>
      </c>
      <c r="E640" t="s">
        <v>3235</v>
      </c>
      <c r="F640" t="s">
        <v>3236</v>
      </c>
    </row>
    <row r="641" spans="1:6" x14ac:dyDescent="0.25">
      <c r="A641" t="s">
        <v>1678</v>
      </c>
      <c r="B641" t="str">
        <f>"44032510      "</f>
        <v xml:space="preserve">44032510      </v>
      </c>
      <c r="C641" t="s">
        <v>3228</v>
      </c>
      <c r="D641" t="s">
        <v>3228</v>
      </c>
      <c r="E641" t="s">
        <v>3237</v>
      </c>
      <c r="F641" t="s">
        <v>3238</v>
      </c>
    </row>
    <row r="642" spans="1:6" x14ac:dyDescent="0.25">
      <c r="A642" t="s">
        <v>1678</v>
      </c>
      <c r="B642" t="str">
        <f>"44032590      "</f>
        <v xml:space="preserve">44032590      </v>
      </c>
      <c r="C642" t="s">
        <v>16</v>
      </c>
      <c r="D642" t="s">
        <v>16</v>
      </c>
      <c r="E642" t="s">
        <v>3239</v>
      </c>
      <c r="F642" t="s">
        <v>3240</v>
      </c>
    </row>
    <row r="643" spans="1:6" x14ac:dyDescent="0.25">
      <c r="A643" t="s">
        <v>1678</v>
      </c>
      <c r="B643" t="str">
        <f>"44039300      "</f>
        <v xml:space="preserve">44039300      </v>
      </c>
      <c r="C643" t="s">
        <v>3241</v>
      </c>
      <c r="D643" t="s">
        <v>3242</v>
      </c>
      <c r="E643" t="s">
        <v>3243</v>
      </c>
      <c r="F643" t="s">
        <v>3244</v>
      </c>
    </row>
    <row r="644" spans="1:6" x14ac:dyDescent="0.25">
      <c r="A644" t="s">
        <v>1678</v>
      </c>
      <c r="B644" t="str">
        <f>"44039510      "</f>
        <v xml:space="preserve">44039510      </v>
      </c>
      <c r="C644" t="s">
        <v>3228</v>
      </c>
      <c r="D644" t="s">
        <v>3228</v>
      </c>
      <c r="E644" t="s">
        <v>3245</v>
      </c>
      <c r="F644" t="s">
        <v>3246</v>
      </c>
    </row>
    <row r="645" spans="1:6" x14ac:dyDescent="0.25">
      <c r="A645" t="s">
        <v>1678</v>
      </c>
      <c r="B645" t="str">
        <f>"44039590      "</f>
        <v xml:space="preserve">44039590      </v>
      </c>
      <c r="C645" t="s">
        <v>16</v>
      </c>
      <c r="D645" t="s">
        <v>16</v>
      </c>
      <c r="E645" t="s">
        <v>3247</v>
      </c>
      <c r="F645" t="s">
        <v>3248</v>
      </c>
    </row>
    <row r="646" spans="1:6" x14ac:dyDescent="0.25">
      <c r="A646" t="s">
        <v>1678</v>
      </c>
      <c r="B646" t="str">
        <f>"44072915      "</f>
        <v xml:space="preserve">44072915      </v>
      </c>
      <c r="C646" t="s">
        <v>3249</v>
      </c>
      <c r="D646" t="s">
        <v>3249</v>
      </c>
      <c r="E646" t="s">
        <v>3250</v>
      </c>
      <c r="F646" t="s">
        <v>3251</v>
      </c>
    </row>
    <row r="647" spans="1:6" x14ac:dyDescent="0.25">
      <c r="A647" t="s">
        <v>1678</v>
      </c>
      <c r="B647" t="str">
        <f>"44072920      "</f>
        <v xml:space="preserve">44072920      </v>
      </c>
      <c r="C647" t="s">
        <v>3252</v>
      </c>
      <c r="D647" t="s">
        <v>3252</v>
      </c>
      <c r="E647" t="s">
        <v>3253</v>
      </c>
      <c r="F647" t="s">
        <v>3254</v>
      </c>
    </row>
    <row r="648" spans="1:6" x14ac:dyDescent="0.25">
      <c r="A648" t="s">
        <v>1678</v>
      </c>
      <c r="B648" t="str">
        <f>"44072983      "</f>
        <v xml:space="preserve">44072983      </v>
      </c>
      <c r="C648" t="s">
        <v>582</v>
      </c>
      <c r="D648" t="s">
        <v>582</v>
      </c>
      <c r="E648" t="s">
        <v>3255</v>
      </c>
      <c r="F648" t="s">
        <v>3256</v>
      </c>
    </row>
    <row r="649" spans="1:6" x14ac:dyDescent="0.25">
      <c r="A649" t="s">
        <v>1678</v>
      </c>
      <c r="B649" t="str">
        <f>"44072985      "</f>
        <v xml:space="preserve">44072985      </v>
      </c>
      <c r="C649" t="s">
        <v>3257</v>
      </c>
      <c r="D649" t="s">
        <v>3257</v>
      </c>
      <c r="E649" t="s">
        <v>3258</v>
      </c>
      <c r="F649" t="s">
        <v>3259</v>
      </c>
    </row>
    <row r="650" spans="1:6" x14ac:dyDescent="0.25">
      <c r="A650" t="s">
        <v>1678</v>
      </c>
      <c r="B650" t="str">
        <f>"44072995      "</f>
        <v xml:space="preserve">44072995      </v>
      </c>
      <c r="C650" t="s">
        <v>16</v>
      </c>
      <c r="D650" t="s">
        <v>16</v>
      </c>
      <c r="E650" t="s">
        <v>3260</v>
      </c>
      <c r="F650" t="s">
        <v>3261</v>
      </c>
    </row>
    <row r="651" spans="1:6" x14ac:dyDescent="0.25">
      <c r="A651" t="s">
        <v>1678</v>
      </c>
      <c r="B651" t="str">
        <f>"44101110      "</f>
        <v xml:space="preserve">44101110      </v>
      </c>
      <c r="C651" t="s">
        <v>3262</v>
      </c>
      <c r="D651" t="s">
        <v>3263</v>
      </c>
      <c r="E651" t="s">
        <v>3264</v>
      </c>
      <c r="F651" t="s">
        <v>3265</v>
      </c>
    </row>
    <row r="652" spans="1:6" x14ac:dyDescent="0.25">
      <c r="A652" t="s">
        <v>1678</v>
      </c>
      <c r="B652" t="str">
        <f>"44101210      "</f>
        <v xml:space="preserve">44101210      </v>
      </c>
      <c r="C652" t="s">
        <v>3262</v>
      </c>
      <c r="D652" t="s">
        <v>3263</v>
      </c>
      <c r="E652" t="s">
        <v>3266</v>
      </c>
      <c r="F652" t="s">
        <v>3267</v>
      </c>
    </row>
    <row r="653" spans="1:6" x14ac:dyDescent="0.25">
      <c r="A653" t="s">
        <v>1678</v>
      </c>
      <c r="B653" t="str">
        <f>"44111210      "</f>
        <v xml:space="preserve">44111210      </v>
      </c>
      <c r="C653" t="s">
        <v>3268</v>
      </c>
      <c r="D653" t="s">
        <v>3269</v>
      </c>
      <c r="E653" t="s">
        <v>3270</v>
      </c>
      <c r="F653" t="s">
        <v>3271</v>
      </c>
    </row>
    <row r="654" spans="1:6" x14ac:dyDescent="0.25">
      <c r="A654" t="s">
        <v>1678</v>
      </c>
      <c r="B654" t="str">
        <f>"44111310      "</f>
        <v xml:space="preserve">44111310      </v>
      </c>
      <c r="C654" t="s">
        <v>3268</v>
      </c>
      <c r="D654" t="s">
        <v>3269</v>
      </c>
      <c r="E654" t="s">
        <v>3272</v>
      </c>
      <c r="F654" t="s">
        <v>3273</v>
      </c>
    </row>
    <row r="655" spans="1:6" x14ac:dyDescent="0.25">
      <c r="A655" t="s">
        <v>1678</v>
      </c>
      <c r="B655" t="str">
        <f>"44111410      "</f>
        <v xml:space="preserve">44111410      </v>
      </c>
      <c r="C655" t="s">
        <v>3268</v>
      </c>
      <c r="D655" t="s">
        <v>3269</v>
      </c>
      <c r="E655" t="s">
        <v>3274</v>
      </c>
      <c r="F655" t="s">
        <v>3275</v>
      </c>
    </row>
    <row r="656" spans="1:6" x14ac:dyDescent="0.25">
      <c r="A656" t="s">
        <v>1678</v>
      </c>
      <c r="B656" t="str">
        <f>"44119210      "</f>
        <v xml:space="preserve">44119210      </v>
      </c>
      <c r="C656" t="s">
        <v>3268</v>
      </c>
      <c r="D656" t="s">
        <v>3269</v>
      </c>
      <c r="E656" t="s">
        <v>3276</v>
      </c>
      <c r="F656" t="s">
        <v>3277</v>
      </c>
    </row>
    <row r="657" spans="1:6" x14ac:dyDescent="0.25">
      <c r="A657" t="s">
        <v>1678</v>
      </c>
      <c r="B657" t="str">
        <f>"44119410      "</f>
        <v xml:space="preserve">44119410      </v>
      </c>
      <c r="C657" t="s">
        <v>3268</v>
      </c>
      <c r="D657" t="s">
        <v>3269</v>
      </c>
      <c r="E657" t="s">
        <v>3278</v>
      </c>
      <c r="F657" t="s">
        <v>3279</v>
      </c>
    </row>
    <row r="658" spans="1:6" x14ac:dyDescent="0.25">
      <c r="A658" t="s">
        <v>1678</v>
      </c>
      <c r="B658" t="str">
        <f>"44219999      "</f>
        <v xml:space="preserve">44219999      </v>
      </c>
      <c r="C658" t="s">
        <v>16</v>
      </c>
      <c r="D658" t="s">
        <v>16</v>
      </c>
      <c r="E658" t="s">
        <v>3280</v>
      </c>
      <c r="F658" t="s">
        <v>3281</v>
      </c>
    </row>
    <row r="659" spans="1:6" x14ac:dyDescent="0.25">
      <c r="A659" t="s">
        <v>1678</v>
      </c>
      <c r="B659" t="str">
        <f>"57031000      "</f>
        <v xml:space="preserve">57031000      </v>
      </c>
      <c r="C659" t="s">
        <v>777</v>
      </c>
      <c r="D659" t="s">
        <v>777</v>
      </c>
      <c r="E659" t="s">
        <v>3282</v>
      </c>
      <c r="F659" t="s">
        <v>3283</v>
      </c>
    </row>
    <row r="660" spans="1:6" x14ac:dyDescent="0.25">
      <c r="A660" t="s">
        <v>1678</v>
      </c>
      <c r="B660" t="str">
        <f>"57039020      "</f>
        <v xml:space="preserve">57039020      </v>
      </c>
      <c r="C660" t="s">
        <v>3284</v>
      </c>
      <c r="D660" t="s">
        <v>3284</v>
      </c>
      <c r="E660" t="s">
        <v>3285</v>
      </c>
      <c r="F660" t="s">
        <v>3286</v>
      </c>
    </row>
    <row r="661" spans="1:6" x14ac:dyDescent="0.25">
      <c r="A661" t="s">
        <v>1678</v>
      </c>
      <c r="B661" t="str">
        <f>"57039080      "</f>
        <v xml:space="preserve">57039080      </v>
      </c>
      <c r="C661" t="s">
        <v>16</v>
      </c>
      <c r="D661" t="s">
        <v>16</v>
      </c>
      <c r="E661" t="s">
        <v>3287</v>
      </c>
      <c r="F661" t="s">
        <v>3288</v>
      </c>
    </row>
    <row r="662" spans="1:6" x14ac:dyDescent="0.25">
      <c r="A662" t="s">
        <v>1678</v>
      </c>
      <c r="B662" t="str">
        <f>"59069910      "</f>
        <v xml:space="preserve">59069910      </v>
      </c>
      <c r="C662" t="s">
        <v>3289</v>
      </c>
      <c r="D662" t="s">
        <v>3290</v>
      </c>
      <c r="E662" t="s">
        <v>3291</v>
      </c>
      <c r="F662" t="s">
        <v>3292</v>
      </c>
    </row>
    <row r="663" spans="1:6" x14ac:dyDescent="0.25">
      <c r="A663" t="s">
        <v>1678</v>
      </c>
      <c r="B663" t="str">
        <f>"59111000      "</f>
        <v xml:space="preserve">59111000      </v>
      </c>
      <c r="C663" t="s">
        <v>3293</v>
      </c>
      <c r="D663" t="s">
        <v>3293</v>
      </c>
      <c r="E663" t="s">
        <v>3294</v>
      </c>
      <c r="F663" t="s">
        <v>3295</v>
      </c>
    </row>
    <row r="664" spans="1:6" x14ac:dyDescent="0.25">
      <c r="A664" t="s">
        <v>1678</v>
      </c>
      <c r="B664" t="str">
        <f>"59112000      "</f>
        <v xml:space="preserve">59112000      </v>
      </c>
      <c r="C664" t="s">
        <v>3296</v>
      </c>
      <c r="D664" t="s">
        <v>3296</v>
      </c>
      <c r="E664" t="s">
        <v>3297</v>
      </c>
      <c r="F664" t="s">
        <v>3298</v>
      </c>
    </row>
    <row r="665" spans="1:6" x14ac:dyDescent="0.25">
      <c r="A665" t="s">
        <v>1678</v>
      </c>
      <c r="B665" t="str">
        <f>"59113111      "</f>
        <v xml:space="preserve">59113111      </v>
      </c>
      <c r="C665" t="s">
        <v>3299</v>
      </c>
      <c r="D665" t="s">
        <v>3299</v>
      </c>
      <c r="E665" t="s">
        <v>3300</v>
      </c>
      <c r="F665" t="s">
        <v>3301</v>
      </c>
    </row>
    <row r="666" spans="1:6" x14ac:dyDescent="0.25">
      <c r="A666" t="s">
        <v>1678</v>
      </c>
      <c r="B666" t="str">
        <f>"59113119      "</f>
        <v xml:space="preserve">59113119      </v>
      </c>
      <c r="C666" t="s">
        <v>16</v>
      </c>
      <c r="D666" t="s">
        <v>16</v>
      </c>
      <c r="E666" t="s">
        <v>3302</v>
      </c>
      <c r="F666" t="s">
        <v>3303</v>
      </c>
    </row>
    <row r="667" spans="1:6" x14ac:dyDescent="0.25">
      <c r="A667" t="s">
        <v>1678</v>
      </c>
      <c r="B667" t="str">
        <f>"59113190      "</f>
        <v xml:space="preserve">59113190      </v>
      </c>
      <c r="C667" t="s">
        <v>785</v>
      </c>
      <c r="D667" t="s">
        <v>785</v>
      </c>
      <c r="E667" t="s">
        <v>3304</v>
      </c>
      <c r="F667" t="s">
        <v>3305</v>
      </c>
    </row>
    <row r="668" spans="1:6" x14ac:dyDescent="0.25">
      <c r="A668" t="s">
        <v>1678</v>
      </c>
      <c r="B668" t="str">
        <f>"59113211      "</f>
        <v xml:space="preserve">59113211      </v>
      </c>
      <c r="C668" t="s">
        <v>3306</v>
      </c>
      <c r="D668" t="s">
        <v>3306</v>
      </c>
      <c r="E668" t="s">
        <v>3307</v>
      </c>
      <c r="F668" t="s">
        <v>3308</v>
      </c>
    </row>
    <row r="669" spans="1:6" x14ac:dyDescent="0.25">
      <c r="A669" t="s">
        <v>1678</v>
      </c>
      <c r="B669" t="str">
        <f>"59113219      "</f>
        <v xml:space="preserve">59113219      </v>
      </c>
      <c r="C669" t="s">
        <v>16</v>
      </c>
      <c r="D669" t="s">
        <v>16</v>
      </c>
      <c r="E669" t="s">
        <v>3309</v>
      </c>
      <c r="F669" t="s">
        <v>3310</v>
      </c>
    </row>
    <row r="670" spans="1:6" x14ac:dyDescent="0.25">
      <c r="A670" t="s">
        <v>1678</v>
      </c>
      <c r="B670" t="str">
        <f>"59113290      "</f>
        <v xml:space="preserve">59113290      </v>
      </c>
      <c r="C670" t="s">
        <v>785</v>
      </c>
      <c r="D670" t="s">
        <v>785</v>
      </c>
      <c r="E670" t="s">
        <v>3311</v>
      </c>
      <c r="F670" t="s">
        <v>3312</v>
      </c>
    </row>
    <row r="671" spans="1:6" x14ac:dyDescent="0.25">
      <c r="A671" t="s">
        <v>1678</v>
      </c>
      <c r="B671" t="str">
        <f>"59114000      "</f>
        <v xml:space="preserve">59114000      </v>
      </c>
      <c r="C671" t="s">
        <v>3313</v>
      </c>
      <c r="D671" t="s">
        <v>3314</v>
      </c>
      <c r="E671" t="s">
        <v>3315</v>
      </c>
      <c r="F671" t="s">
        <v>3316</v>
      </c>
    </row>
    <row r="672" spans="1:6" x14ac:dyDescent="0.25">
      <c r="A672" t="s">
        <v>1678</v>
      </c>
      <c r="B672" t="str">
        <f>"59119010      "</f>
        <v xml:space="preserve">59119010      </v>
      </c>
      <c r="C672" t="s">
        <v>3317</v>
      </c>
      <c r="D672" t="s">
        <v>3317</v>
      </c>
      <c r="E672" t="s">
        <v>3318</v>
      </c>
      <c r="F672" t="s">
        <v>3319</v>
      </c>
    </row>
    <row r="673" spans="1:6" x14ac:dyDescent="0.25">
      <c r="A673" t="s">
        <v>1678</v>
      </c>
      <c r="B673" t="str">
        <f>"59119091      "</f>
        <v xml:space="preserve">59119091      </v>
      </c>
      <c r="C673" t="s">
        <v>3320</v>
      </c>
      <c r="D673" t="s">
        <v>3320</v>
      </c>
      <c r="E673" t="s">
        <v>3321</v>
      </c>
      <c r="F673" t="s">
        <v>3322</v>
      </c>
    </row>
    <row r="674" spans="1:6" x14ac:dyDescent="0.25">
      <c r="A674" t="s">
        <v>1678</v>
      </c>
      <c r="B674" t="str">
        <f>"59119099      "</f>
        <v xml:space="preserve">59119099      </v>
      </c>
      <c r="C674" t="s">
        <v>16</v>
      </c>
      <c r="D674" t="s">
        <v>16</v>
      </c>
      <c r="E674" t="s">
        <v>3323</v>
      </c>
      <c r="F674" t="s">
        <v>3324</v>
      </c>
    </row>
    <row r="675" spans="1:6" x14ac:dyDescent="0.25">
      <c r="A675" t="s">
        <v>1678</v>
      </c>
      <c r="B675" t="str">
        <f>"61161020      "</f>
        <v xml:space="preserve">61161020      </v>
      </c>
      <c r="C675" t="s">
        <v>3325</v>
      </c>
      <c r="D675" t="s">
        <v>3326</v>
      </c>
      <c r="E675" t="s">
        <v>3327</v>
      </c>
      <c r="F675" t="s">
        <v>3328</v>
      </c>
    </row>
    <row r="676" spans="1:6" x14ac:dyDescent="0.25">
      <c r="A676" t="s">
        <v>1678</v>
      </c>
      <c r="B676" t="str">
        <f>"61161080      "</f>
        <v xml:space="preserve">61161080      </v>
      </c>
      <c r="C676" t="s">
        <v>16</v>
      </c>
      <c r="D676" t="s">
        <v>16</v>
      </c>
      <c r="E676" t="s">
        <v>3329</v>
      </c>
      <c r="F676" t="s">
        <v>3330</v>
      </c>
    </row>
    <row r="677" spans="1:6" x14ac:dyDescent="0.25">
      <c r="A677" t="s">
        <v>1678</v>
      </c>
      <c r="B677" t="str">
        <f>"62102000      "</f>
        <v xml:space="preserve">62102000      </v>
      </c>
      <c r="C677" t="s">
        <v>3331</v>
      </c>
      <c r="D677" t="s">
        <v>3332</v>
      </c>
      <c r="E677" t="s">
        <v>3333</v>
      </c>
      <c r="F677" t="s">
        <v>3334</v>
      </c>
    </row>
    <row r="678" spans="1:6" x14ac:dyDescent="0.25">
      <c r="A678" t="s">
        <v>1678</v>
      </c>
      <c r="B678" t="str">
        <f>"62103000      "</f>
        <v xml:space="preserve">62103000      </v>
      </c>
      <c r="C678" t="s">
        <v>3335</v>
      </c>
      <c r="D678" t="s">
        <v>3336</v>
      </c>
      <c r="E678" t="s">
        <v>3337</v>
      </c>
      <c r="F678" t="s">
        <v>3338</v>
      </c>
    </row>
    <row r="679" spans="1:6" x14ac:dyDescent="0.25">
      <c r="A679" t="s">
        <v>1678</v>
      </c>
      <c r="B679" t="str">
        <f>"63061200      "</f>
        <v xml:space="preserve">63061200      </v>
      </c>
      <c r="C679" t="s">
        <v>3339</v>
      </c>
      <c r="D679" t="s">
        <v>3339</v>
      </c>
      <c r="E679" t="s">
        <v>3340</v>
      </c>
      <c r="F679" t="s">
        <v>3341</v>
      </c>
    </row>
    <row r="680" spans="1:6" x14ac:dyDescent="0.25">
      <c r="A680" t="s">
        <v>1678</v>
      </c>
      <c r="B680" t="str">
        <f>"63061900      "</f>
        <v xml:space="preserve">63061900      </v>
      </c>
      <c r="C680" t="s">
        <v>785</v>
      </c>
      <c r="D680" t="s">
        <v>785</v>
      </c>
      <c r="E680" t="s">
        <v>3342</v>
      </c>
      <c r="F680" t="s">
        <v>3343</v>
      </c>
    </row>
    <row r="681" spans="1:6" x14ac:dyDescent="0.25">
      <c r="A681" t="s">
        <v>1678</v>
      </c>
      <c r="B681" t="str">
        <f>"63062200      "</f>
        <v xml:space="preserve">63062200      </v>
      </c>
      <c r="C681" t="s">
        <v>3339</v>
      </c>
      <c r="D681" t="s">
        <v>3339</v>
      </c>
      <c r="E681" t="s">
        <v>3344</v>
      </c>
      <c r="F681" t="s">
        <v>3345</v>
      </c>
    </row>
    <row r="682" spans="1:6" x14ac:dyDescent="0.25">
      <c r="A682" t="s">
        <v>1678</v>
      </c>
      <c r="B682" t="str">
        <f>"63062900      "</f>
        <v xml:space="preserve">63062900      </v>
      </c>
      <c r="C682" t="s">
        <v>785</v>
      </c>
      <c r="D682" t="s">
        <v>785</v>
      </c>
      <c r="E682" t="s">
        <v>3346</v>
      </c>
      <c r="F682" t="s">
        <v>3347</v>
      </c>
    </row>
    <row r="683" spans="1:6" x14ac:dyDescent="0.25">
      <c r="A683" t="s">
        <v>1678</v>
      </c>
      <c r="B683" t="str">
        <f>"63063000      "</f>
        <v xml:space="preserve">63063000      </v>
      </c>
      <c r="C683" t="s">
        <v>3348</v>
      </c>
      <c r="D683" t="s">
        <v>3348</v>
      </c>
      <c r="E683" t="s">
        <v>3349</v>
      </c>
      <c r="F683" t="s">
        <v>3350</v>
      </c>
    </row>
    <row r="684" spans="1:6" x14ac:dyDescent="0.25">
      <c r="A684" t="s">
        <v>1678</v>
      </c>
      <c r="B684" t="str">
        <f>"63064000      "</f>
        <v xml:space="preserve">63064000      </v>
      </c>
      <c r="C684" t="s">
        <v>3351</v>
      </c>
      <c r="D684" t="s">
        <v>3351</v>
      </c>
      <c r="E684" t="s">
        <v>3352</v>
      </c>
      <c r="F684" t="s">
        <v>3353</v>
      </c>
    </row>
    <row r="685" spans="1:6" x14ac:dyDescent="0.25">
      <c r="A685" t="s">
        <v>1678</v>
      </c>
      <c r="B685" t="str">
        <f>"63069000      "</f>
        <v xml:space="preserve">63069000      </v>
      </c>
      <c r="C685" t="s">
        <v>16</v>
      </c>
      <c r="D685" t="s">
        <v>16</v>
      </c>
      <c r="E685" t="s">
        <v>3354</v>
      </c>
      <c r="F685" t="s">
        <v>3355</v>
      </c>
    </row>
    <row r="686" spans="1:6" x14ac:dyDescent="0.25">
      <c r="A686" t="s">
        <v>1678</v>
      </c>
      <c r="B686" t="str">
        <f>"68021000      "</f>
        <v xml:space="preserve">68021000      </v>
      </c>
      <c r="C686" t="s">
        <v>3356</v>
      </c>
      <c r="D686" t="s">
        <v>3357</v>
      </c>
      <c r="E686" t="s">
        <v>3358</v>
      </c>
      <c r="F686" t="s">
        <v>3359</v>
      </c>
    </row>
    <row r="687" spans="1:6" x14ac:dyDescent="0.25">
      <c r="A687" t="s">
        <v>1678</v>
      </c>
      <c r="B687" t="str">
        <f>"68159100      "</f>
        <v xml:space="preserve">68159100      </v>
      </c>
      <c r="C687" t="s">
        <v>3360</v>
      </c>
      <c r="D687" t="s">
        <v>3361</v>
      </c>
      <c r="E687" t="s">
        <v>3362</v>
      </c>
      <c r="F687" t="s">
        <v>3363</v>
      </c>
    </row>
    <row r="688" spans="1:6" x14ac:dyDescent="0.25">
      <c r="A688" t="s">
        <v>1678</v>
      </c>
      <c r="B688" t="str">
        <f>"69031000      "</f>
        <v xml:space="preserve">69031000      </v>
      </c>
      <c r="C688" t="s">
        <v>3364</v>
      </c>
      <c r="D688" t="s">
        <v>3365</v>
      </c>
      <c r="E688" t="s">
        <v>3366</v>
      </c>
      <c r="F688" t="s">
        <v>3367</v>
      </c>
    </row>
    <row r="689" spans="1:6" x14ac:dyDescent="0.25">
      <c r="A689" t="s">
        <v>1678</v>
      </c>
      <c r="B689" t="str">
        <f>"69032010      "</f>
        <v xml:space="preserve">69032010      </v>
      </c>
      <c r="C689" t="s">
        <v>3368</v>
      </c>
      <c r="D689" t="s">
        <v>3368</v>
      </c>
      <c r="E689" t="s">
        <v>3369</v>
      </c>
      <c r="F689" t="s">
        <v>3370</v>
      </c>
    </row>
    <row r="690" spans="1:6" x14ac:dyDescent="0.25">
      <c r="A690" t="s">
        <v>1678</v>
      </c>
      <c r="B690" t="str">
        <f>"69032090      "</f>
        <v xml:space="preserve">69032090      </v>
      </c>
      <c r="C690" t="s">
        <v>3371</v>
      </c>
      <c r="D690" t="s">
        <v>3371</v>
      </c>
      <c r="E690" t="s">
        <v>3372</v>
      </c>
      <c r="F690" t="s">
        <v>3373</v>
      </c>
    </row>
    <row r="691" spans="1:6" x14ac:dyDescent="0.25">
      <c r="A691" t="s">
        <v>1678</v>
      </c>
      <c r="B691" t="str">
        <f>"69039010      "</f>
        <v xml:space="preserve">69039010      </v>
      </c>
      <c r="C691" t="s">
        <v>3374</v>
      </c>
      <c r="D691" t="s">
        <v>3374</v>
      </c>
      <c r="E691" t="s">
        <v>3375</v>
      </c>
      <c r="F691" t="s">
        <v>3376</v>
      </c>
    </row>
    <row r="692" spans="1:6" x14ac:dyDescent="0.25">
      <c r="A692" t="s">
        <v>1678</v>
      </c>
      <c r="B692" t="str">
        <f>"69039090      "</f>
        <v xml:space="preserve">69039090      </v>
      </c>
      <c r="C692" t="s">
        <v>16</v>
      </c>
      <c r="D692" t="s">
        <v>16</v>
      </c>
      <c r="E692" t="s">
        <v>3377</v>
      </c>
      <c r="F692" t="s">
        <v>3378</v>
      </c>
    </row>
    <row r="693" spans="1:6" x14ac:dyDescent="0.25">
      <c r="A693" t="s">
        <v>1678</v>
      </c>
      <c r="B693" t="str">
        <f>"70010010      "</f>
        <v xml:space="preserve">70010010      </v>
      </c>
      <c r="C693" t="s">
        <v>3379</v>
      </c>
      <c r="D693" t="s">
        <v>3379</v>
      </c>
      <c r="E693" t="s">
        <v>3380</v>
      </c>
      <c r="F693" t="s">
        <v>3381</v>
      </c>
    </row>
    <row r="694" spans="1:6" x14ac:dyDescent="0.25">
      <c r="A694" t="s">
        <v>1678</v>
      </c>
      <c r="B694" t="str">
        <f>"70010091      "</f>
        <v xml:space="preserve">70010091      </v>
      </c>
      <c r="C694" t="s">
        <v>3382</v>
      </c>
      <c r="D694" t="s">
        <v>3382</v>
      </c>
      <c r="E694" t="s">
        <v>3383</v>
      </c>
      <c r="F694" t="s">
        <v>3384</v>
      </c>
    </row>
    <row r="695" spans="1:6" x14ac:dyDescent="0.25">
      <c r="A695" t="s">
        <v>1678</v>
      </c>
      <c r="B695" t="str">
        <f>"70010099      "</f>
        <v xml:space="preserve">70010099      </v>
      </c>
      <c r="C695" t="s">
        <v>16</v>
      </c>
      <c r="D695" t="s">
        <v>16</v>
      </c>
      <c r="E695" t="s">
        <v>3385</v>
      </c>
      <c r="F695" t="s">
        <v>3386</v>
      </c>
    </row>
    <row r="696" spans="1:6" x14ac:dyDescent="0.25">
      <c r="A696" t="s">
        <v>1678</v>
      </c>
      <c r="B696" t="str">
        <f>"70111000      "</f>
        <v xml:space="preserve">70111000      </v>
      </c>
      <c r="C696" t="s">
        <v>3387</v>
      </c>
      <c r="D696" t="s">
        <v>3387</v>
      </c>
      <c r="E696" t="s">
        <v>3388</v>
      </c>
      <c r="F696" t="s">
        <v>3389</v>
      </c>
    </row>
    <row r="697" spans="1:6" x14ac:dyDescent="0.25">
      <c r="A697" t="s">
        <v>1678</v>
      </c>
      <c r="B697" t="str">
        <f>"70112000      "</f>
        <v xml:space="preserve">70112000      </v>
      </c>
      <c r="C697" t="s">
        <v>3390</v>
      </c>
      <c r="D697" t="s">
        <v>3391</v>
      </c>
      <c r="E697" t="s">
        <v>3392</v>
      </c>
      <c r="F697" t="s">
        <v>3393</v>
      </c>
    </row>
    <row r="698" spans="1:6" x14ac:dyDescent="0.25">
      <c r="A698" t="s">
        <v>1678</v>
      </c>
      <c r="B698" t="str">
        <f>"70119000      "</f>
        <v xml:space="preserve">70119000      </v>
      </c>
      <c r="C698" t="s">
        <v>16</v>
      </c>
      <c r="D698" t="s">
        <v>16</v>
      </c>
      <c r="E698" t="s">
        <v>3394</v>
      </c>
      <c r="F698" t="s">
        <v>3395</v>
      </c>
    </row>
    <row r="699" spans="1:6" x14ac:dyDescent="0.25">
      <c r="A699" t="s">
        <v>1678</v>
      </c>
      <c r="B699" t="str">
        <f>"70191100      "</f>
        <v xml:space="preserve">70191100      </v>
      </c>
      <c r="C699" t="s">
        <v>3396</v>
      </c>
      <c r="D699" t="s">
        <v>3396</v>
      </c>
      <c r="E699" t="s">
        <v>3397</v>
      </c>
      <c r="F699" t="s">
        <v>3398</v>
      </c>
    </row>
    <row r="700" spans="1:6" x14ac:dyDescent="0.25">
      <c r="A700" t="s">
        <v>1678</v>
      </c>
      <c r="B700" t="str">
        <f>"70191200      "</f>
        <v xml:space="preserve">70191200      </v>
      </c>
      <c r="C700" t="s">
        <v>3399</v>
      </c>
      <c r="D700" t="s">
        <v>3399</v>
      </c>
      <c r="E700" t="s">
        <v>3400</v>
      </c>
      <c r="F700" t="s">
        <v>3401</v>
      </c>
    </row>
    <row r="701" spans="1:6" x14ac:dyDescent="0.25">
      <c r="A701" t="s">
        <v>1678</v>
      </c>
      <c r="B701" t="str">
        <f>"70199000      "</f>
        <v xml:space="preserve">70199000      </v>
      </c>
      <c r="C701" t="s">
        <v>16</v>
      </c>
      <c r="D701" t="s">
        <v>16</v>
      </c>
      <c r="E701" t="s">
        <v>3402</v>
      </c>
      <c r="F701" t="s">
        <v>3403</v>
      </c>
    </row>
    <row r="702" spans="1:6" x14ac:dyDescent="0.25">
      <c r="A702" t="s">
        <v>1678</v>
      </c>
      <c r="B702" t="str">
        <f>"71123000      "</f>
        <v xml:space="preserve">71123000      </v>
      </c>
      <c r="C702" t="s">
        <v>3404</v>
      </c>
      <c r="D702" t="s">
        <v>3404</v>
      </c>
      <c r="E702" t="s">
        <v>3405</v>
      </c>
      <c r="F702" t="s">
        <v>3406</v>
      </c>
    </row>
    <row r="703" spans="1:6" x14ac:dyDescent="0.25">
      <c r="A703" t="s">
        <v>1678</v>
      </c>
      <c r="B703" t="str">
        <f>"71129100      "</f>
        <v xml:space="preserve">71129100      </v>
      </c>
      <c r="C703" t="s">
        <v>3407</v>
      </c>
      <c r="D703" t="s">
        <v>3407</v>
      </c>
      <c r="E703" t="s">
        <v>3408</v>
      </c>
      <c r="F703" t="s">
        <v>3409</v>
      </c>
    </row>
    <row r="704" spans="1:6" x14ac:dyDescent="0.25">
      <c r="A704" t="s">
        <v>1678</v>
      </c>
      <c r="B704" t="str">
        <f>"71129200      "</f>
        <v xml:space="preserve">71129200      </v>
      </c>
      <c r="C704" t="s">
        <v>3410</v>
      </c>
      <c r="D704" t="s">
        <v>3410</v>
      </c>
      <c r="E704" t="s">
        <v>3411</v>
      </c>
      <c r="F704" t="s">
        <v>3412</v>
      </c>
    </row>
    <row r="705" spans="1:6" x14ac:dyDescent="0.25">
      <c r="A705" t="s">
        <v>1678</v>
      </c>
      <c r="B705" t="str">
        <f>"71129900      "</f>
        <v xml:space="preserve">71129900      </v>
      </c>
      <c r="C705" t="s">
        <v>16</v>
      </c>
      <c r="D705" t="s">
        <v>16</v>
      </c>
      <c r="E705" t="s">
        <v>3413</v>
      </c>
      <c r="F705" t="s">
        <v>3414</v>
      </c>
    </row>
    <row r="706" spans="1:6" x14ac:dyDescent="0.25">
      <c r="A706" t="s">
        <v>1678</v>
      </c>
      <c r="B706" t="str">
        <f>"76061191      "</f>
        <v xml:space="preserve">76061191      </v>
      </c>
      <c r="C706" t="s">
        <v>3415</v>
      </c>
      <c r="D706" t="s">
        <v>3415</v>
      </c>
      <c r="E706" t="s">
        <v>3416</v>
      </c>
      <c r="F706" t="s">
        <v>3417</v>
      </c>
    </row>
    <row r="707" spans="1:6" x14ac:dyDescent="0.25">
      <c r="A707" t="s">
        <v>1678</v>
      </c>
      <c r="B707" t="str">
        <f>"76061193      "</f>
        <v xml:space="preserve">76061193      </v>
      </c>
      <c r="C707" t="s">
        <v>3418</v>
      </c>
      <c r="D707" t="s">
        <v>3418</v>
      </c>
      <c r="E707" t="s">
        <v>3419</v>
      </c>
      <c r="F707" t="s">
        <v>3420</v>
      </c>
    </row>
    <row r="708" spans="1:6" x14ac:dyDescent="0.25">
      <c r="A708" t="s">
        <v>1678</v>
      </c>
      <c r="B708" t="str">
        <f>"76061199      "</f>
        <v xml:space="preserve">76061199      </v>
      </c>
      <c r="C708" t="s">
        <v>3421</v>
      </c>
      <c r="D708" t="s">
        <v>3421</v>
      </c>
      <c r="E708" t="s">
        <v>3422</v>
      </c>
      <c r="F708" t="s">
        <v>3423</v>
      </c>
    </row>
    <row r="709" spans="1:6" x14ac:dyDescent="0.25">
      <c r="A709" t="s">
        <v>1678</v>
      </c>
      <c r="B709" t="str">
        <f>"81121200      "</f>
        <v xml:space="preserve">81121200      </v>
      </c>
      <c r="C709" t="s">
        <v>3424</v>
      </c>
      <c r="D709" t="s">
        <v>3424</v>
      </c>
      <c r="E709" t="s">
        <v>3425</v>
      </c>
      <c r="F709" t="s">
        <v>3426</v>
      </c>
    </row>
    <row r="710" spans="1:6" x14ac:dyDescent="0.25">
      <c r="A710" t="s">
        <v>1678</v>
      </c>
      <c r="B710" t="str">
        <f>"81121300      "</f>
        <v xml:space="preserve">81121300      </v>
      </c>
      <c r="C710" t="s">
        <v>1012</v>
      </c>
      <c r="D710" t="s">
        <v>1012</v>
      </c>
      <c r="E710" t="s">
        <v>3427</v>
      </c>
      <c r="F710" t="s">
        <v>3428</v>
      </c>
    </row>
    <row r="711" spans="1:6" x14ac:dyDescent="0.25">
      <c r="A711" t="s">
        <v>1678</v>
      </c>
      <c r="B711" t="str">
        <f>"81121900      "</f>
        <v xml:space="preserve">81121900      </v>
      </c>
      <c r="C711" t="s">
        <v>16</v>
      </c>
      <c r="D711" t="s">
        <v>16</v>
      </c>
      <c r="E711" t="s">
        <v>3429</v>
      </c>
      <c r="F711" t="s">
        <v>3430</v>
      </c>
    </row>
    <row r="712" spans="1:6" x14ac:dyDescent="0.25">
      <c r="A712" t="s">
        <v>1678</v>
      </c>
      <c r="B712" t="str">
        <f>"81122110      "</f>
        <v xml:space="preserve">81122110      </v>
      </c>
      <c r="C712" t="s">
        <v>3431</v>
      </c>
      <c r="D712" t="s">
        <v>3431</v>
      </c>
      <c r="E712" t="s">
        <v>3432</v>
      </c>
      <c r="F712" t="s">
        <v>3433</v>
      </c>
    </row>
    <row r="713" spans="1:6" x14ac:dyDescent="0.25">
      <c r="A713" t="s">
        <v>1678</v>
      </c>
      <c r="B713" t="str">
        <f>"81122190      "</f>
        <v xml:space="preserve">81122190      </v>
      </c>
      <c r="C713" t="s">
        <v>16</v>
      </c>
      <c r="D713" t="s">
        <v>16</v>
      </c>
      <c r="E713" t="s">
        <v>3434</v>
      </c>
      <c r="F713" t="s">
        <v>3435</v>
      </c>
    </row>
    <row r="714" spans="1:6" x14ac:dyDescent="0.25">
      <c r="A714" t="s">
        <v>1678</v>
      </c>
      <c r="B714" t="str">
        <f>"81122200      "</f>
        <v xml:space="preserve">81122200      </v>
      </c>
      <c r="C714" t="s">
        <v>1012</v>
      </c>
      <c r="D714" t="s">
        <v>1012</v>
      </c>
      <c r="E714" t="s">
        <v>3436</v>
      </c>
      <c r="F714" t="s">
        <v>3437</v>
      </c>
    </row>
    <row r="715" spans="1:6" x14ac:dyDescent="0.25">
      <c r="A715" t="s">
        <v>1678</v>
      </c>
      <c r="B715" t="str">
        <f>"81122900      "</f>
        <v xml:space="preserve">81122900      </v>
      </c>
      <c r="C715" t="s">
        <v>16</v>
      </c>
      <c r="D715" t="s">
        <v>16</v>
      </c>
      <c r="E715" t="s">
        <v>3438</v>
      </c>
      <c r="F715" t="s">
        <v>3439</v>
      </c>
    </row>
    <row r="716" spans="1:6" x14ac:dyDescent="0.25">
      <c r="A716" t="s">
        <v>1678</v>
      </c>
      <c r="B716" t="str">
        <f>"81125100      "</f>
        <v xml:space="preserve">81125100      </v>
      </c>
      <c r="C716" t="s">
        <v>3424</v>
      </c>
      <c r="D716" t="s">
        <v>3424</v>
      </c>
      <c r="E716" t="s">
        <v>3440</v>
      </c>
      <c r="F716" t="s">
        <v>3441</v>
      </c>
    </row>
    <row r="717" spans="1:6" x14ac:dyDescent="0.25">
      <c r="A717" t="s">
        <v>1678</v>
      </c>
      <c r="B717" t="str">
        <f>"81125200      "</f>
        <v xml:space="preserve">81125200      </v>
      </c>
      <c r="C717" t="s">
        <v>1012</v>
      </c>
      <c r="D717" t="s">
        <v>1012</v>
      </c>
      <c r="E717" t="s">
        <v>3442</v>
      </c>
      <c r="F717" t="s">
        <v>3443</v>
      </c>
    </row>
    <row r="718" spans="1:6" x14ac:dyDescent="0.25">
      <c r="A718" t="s">
        <v>1678</v>
      </c>
      <c r="B718" t="str">
        <f>"81125900      "</f>
        <v xml:space="preserve">81125900      </v>
      </c>
      <c r="C718" t="s">
        <v>16</v>
      </c>
      <c r="D718" t="s">
        <v>16</v>
      </c>
      <c r="E718" t="s">
        <v>3444</v>
      </c>
      <c r="F718" t="s">
        <v>3445</v>
      </c>
    </row>
    <row r="719" spans="1:6" x14ac:dyDescent="0.25">
      <c r="A719" t="s">
        <v>1678</v>
      </c>
      <c r="B719" t="str">
        <f>"81129221      "</f>
        <v xml:space="preserve">81129221      </v>
      </c>
      <c r="C719" t="s">
        <v>1012</v>
      </c>
      <c r="D719" t="s">
        <v>1012</v>
      </c>
      <c r="E719" t="s">
        <v>3446</v>
      </c>
      <c r="F719" t="s">
        <v>3447</v>
      </c>
    </row>
    <row r="720" spans="1:6" x14ac:dyDescent="0.25">
      <c r="A720" t="s">
        <v>1678</v>
      </c>
      <c r="B720" t="str">
        <f>"81129281      "</f>
        <v xml:space="preserve">81129281      </v>
      </c>
      <c r="C720" t="s">
        <v>3448</v>
      </c>
      <c r="D720" t="s">
        <v>3448</v>
      </c>
      <c r="E720" t="s">
        <v>3449</v>
      </c>
      <c r="F720" t="s">
        <v>3450</v>
      </c>
    </row>
    <row r="721" spans="1:6" x14ac:dyDescent="0.25">
      <c r="A721" t="s">
        <v>1678</v>
      </c>
      <c r="B721" t="str">
        <f>"81129289      "</f>
        <v xml:space="preserve">81129289      </v>
      </c>
      <c r="C721" t="s">
        <v>3451</v>
      </c>
      <c r="D721" t="s">
        <v>3451</v>
      </c>
      <c r="E721" t="s">
        <v>3452</v>
      </c>
      <c r="F721" t="s">
        <v>3453</v>
      </c>
    </row>
    <row r="722" spans="1:6" x14ac:dyDescent="0.25">
      <c r="A722" t="s">
        <v>1678</v>
      </c>
      <c r="B722" t="str">
        <f>"81129291      "</f>
        <v xml:space="preserve">81129291      </v>
      </c>
      <c r="C722" t="s">
        <v>3454</v>
      </c>
      <c r="D722" t="s">
        <v>3454</v>
      </c>
      <c r="E722" t="s">
        <v>3455</v>
      </c>
      <c r="F722" t="s">
        <v>3456</v>
      </c>
    </row>
    <row r="723" spans="1:6" x14ac:dyDescent="0.25">
      <c r="A723" t="s">
        <v>1678</v>
      </c>
      <c r="B723" t="str">
        <f>"81129295      "</f>
        <v xml:space="preserve">81129295      </v>
      </c>
      <c r="C723" t="s">
        <v>1051</v>
      </c>
      <c r="D723" t="s">
        <v>1051</v>
      </c>
      <c r="E723" t="s">
        <v>3457</v>
      </c>
      <c r="F723" t="s">
        <v>3458</v>
      </c>
    </row>
    <row r="724" spans="1:6" x14ac:dyDescent="0.25">
      <c r="A724" t="s">
        <v>1678</v>
      </c>
      <c r="B724" t="str">
        <f>"81129970      "</f>
        <v xml:space="preserve">81129970      </v>
      </c>
      <c r="C724" t="s">
        <v>3459</v>
      </c>
      <c r="D724" t="s">
        <v>3459</v>
      </c>
      <c r="E724" t="s">
        <v>3460</v>
      </c>
      <c r="F724" t="s">
        <v>3461</v>
      </c>
    </row>
    <row r="725" spans="1:6" x14ac:dyDescent="0.25">
      <c r="A725" t="s">
        <v>1678</v>
      </c>
      <c r="B725" t="str">
        <f>"84141015      "</f>
        <v xml:space="preserve">84141015      </v>
      </c>
      <c r="C725" t="s">
        <v>3462</v>
      </c>
      <c r="D725" t="s">
        <v>3462</v>
      </c>
      <c r="E725" t="s">
        <v>3463</v>
      </c>
      <c r="F725" t="s">
        <v>3464</v>
      </c>
    </row>
    <row r="726" spans="1:6" x14ac:dyDescent="0.25">
      <c r="A726" t="s">
        <v>1678</v>
      </c>
      <c r="B726" t="str">
        <f>"84141025      "</f>
        <v xml:space="preserve">84141025      </v>
      </c>
      <c r="C726" t="s">
        <v>3465</v>
      </c>
      <c r="D726" t="s">
        <v>3465</v>
      </c>
      <c r="E726" t="s">
        <v>3466</v>
      </c>
      <c r="F726" t="s">
        <v>3467</v>
      </c>
    </row>
    <row r="727" spans="1:6" x14ac:dyDescent="0.25">
      <c r="A727" t="s">
        <v>1678</v>
      </c>
      <c r="B727" t="str">
        <f>"84141081      "</f>
        <v xml:space="preserve">84141081      </v>
      </c>
      <c r="C727" t="s">
        <v>3468</v>
      </c>
      <c r="D727" t="s">
        <v>3468</v>
      </c>
      <c r="E727" t="s">
        <v>3469</v>
      </c>
      <c r="F727" t="s">
        <v>3470</v>
      </c>
    </row>
    <row r="728" spans="1:6" x14ac:dyDescent="0.25">
      <c r="A728" t="s">
        <v>1678</v>
      </c>
      <c r="B728" t="str">
        <f>"84141089      "</f>
        <v xml:space="preserve">84141089      </v>
      </c>
      <c r="C728" t="s">
        <v>16</v>
      </c>
      <c r="D728" t="s">
        <v>16</v>
      </c>
      <c r="E728" t="s">
        <v>3471</v>
      </c>
      <c r="F728" t="s">
        <v>3472</v>
      </c>
    </row>
    <row r="729" spans="1:6" x14ac:dyDescent="0.25">
      <c r="A729" t="s">
        <v>1678</v>
      </c>
      <c r="B729" t="str">
        <f>"84142020      "</f>
        <v xml:space="preserve">84142020      </v>
      </c>
      <c r="C729" t="s">
        <v>3473</v>
      </c>
      <c r="D729" t="s">
        <v>3473</v>
      </c>
      <c r="E729" t="s">
        <v>3474</v>
      </c>
      <c r="F729" t="s">
        <v>3475</v>
      </c>
    </row>
    <row r="730" spans="1:6" x14ac:dyDescent="0.25">
      <c r="A730" t="s">
        <v>1678</v>
      </c>
      <c r="B730" t="str">
        <f>"84142080      "</f>
        <v xml:space="preserve">84142080      </v>
      </c>
      <c r="C730" t="s">
        <v>16</v>
      </c>
      <c r="D730" t="s">
        <v>16</v>
      </c>
      <c r="E730" t="s">
        <v>3476</v>
      </c>
      <c r="F730" t="s">
        <v>3477</v>
      </c>
    </row>
    <row r="731" spans="1:6" x14ac:dyDescent="0.25">
      <c r="A731" t="s">
        <v>1678</v>
      </c>
      <c r="B731" t="str">
        <f>"84143020      "</f>
        <v xml:space="preserve">84143020      </v>
      </c>
      <c r="C731" t="s">
        <v>3478</v>
      </c>
      <c r="D731" t="s">
        <v>3478</v>
      </c>
      <c r="E731" t="s">
        <v>3479</v>
      </c>
      <c r="F731" t="s">
        <v>3480</v>
      </c>
    </row>
    <row r="732" spans="1:6" x14ac:dyDescent="0.25">
      <c r="A732" t="s">
        <v>1678</v>
      </c>
      <c r="B732" t="str">
        <f>"84143081      "</f>
        <v xml:space="preserve">84143081      </v>
      </c>
      <c r="C732" t="s">
        <v>3481</v>
      </c>
      <c r="D732" t="s">
        <v>3481</v>
      </c>
      <c r="E732" t="s">
        <v>3482</v>
      </c>
      <c r="F732" t="s">
        <v>3483</v>
      </c>
    </row>
    <row r="733" spans="1:6" x14ac:dyDescent="0.25">
      <c r="A733" t="s">
        <v>1678</v>
      </c>
      <c r="B733" t="str">
        <f>"84143089      "</f>
        <v xml:space="preserve">84143089      </v>
      </c>
      <c r="C733" t="s">
        <v>16</v>
      </c>
      <c r="D733" t="s">
        <v>16</v>
      </c>
      <c r="E733" t="s">
        <v>3484</v>
      </c>
      <c r="F733" t="s">
        <v>3485</v>
      </c>
    </row>
    <row r="734" spans="1:6" x14ac:dyDescent="0.25">
      <c r="A734" t="s">
        <v>1678</v>
      </c>
      <c r="B734" t="str">
        <f>"84144010      "</f>
        <v xml:space="preserve">84144010      </v>
      </c>
      <c r="C734" t="s">
        <v>3486</v>
      </c>
      <c r="D734" t="s">
        <v>3486</v>
      </c>
      <c r="E734" t="s">
        <v>3487</v>
      </c>
      <c r="F734" t="s">
        <v>3488</v>
      </c>
    </row>
    <row r="735" spans="1:6" x14ac:dyDescent="0.25">
      <c r="A735" t="s">
        <v>1678</v>
      </c>
      <c r="B735" t="str">
        <f>"84144090      "</f>
        <v xml:space="preserve">84144090      </v>
      </c>
      <c r="C735" t="s">
        <v>3489</v>
      </c>
      <c r="D735" t="s">
        <v>3489</v>
      </c>
      <c r="E735" t="s">
        <v>3490</v>
      </c>
      <c r="F735" t="s">
        <v>3491</v>
      </c>
    </row>
    <row r="736" spans="1:6" x14ac:dyDescent="0.25">
      <c r="A736" t="s">
        <v>1678</v>
      </c>
      <c r="B736" t="str">
        <f>"84145100      "</f>
        <v xml:space="preserve">84145100      </v>
      </c>
      <c r="C736" t="s">
        <v>3492</v>
      </c>
      <c r="D736" t="s">
        <v>3492</v>
      </c>
      <c r="E736" t="s">
        <v>3493</v>
      </c>
      <c r="F736" t="s">
        <v>3494</v>
      </c>
    </row>
    <row r="737" spans="1:6" x14ac:dyDescent="0.25">
      <c r="A737" t="s">
        <v>1678</v>
      </c>
      <c r="B737" t="str">
        <f>"84145915      "</f>
        <v xml:space="preserve">84145915      </v>
      </c>
      <c r="C737" t="s">
        <v>3495</v>
      </c>
      <c r="D737" t="s">
        <v>3495</v>
      </c>
      <c r="E737" t="s">
        <v>3496</v>
      </c>
      <c r="F737" t="s">
        <v>3497</v>
      </c>
    </row>
    <row r="738" spans="1:6" x14ac:dyDescent="0.25">
      <c r="A738" t="s">
        <v>1678</v>
      </c>
      <c r="B738" t="str">
        <f>"84145925      "</f>
        <v xml:space="preserve">84145925      </v>
      </c>
      <c r="C738" t="s">
        <v>3498</v>
      </c>
      <c r="D738" t="s">
        <v>3498</v>
      </c>
      <c r="E738" t="s">
        <v>3499</v>
      </c>
      <c r="F738" t="s">
        <v>3500</v>
      </c>
    </row>
    <row r="739" spans="1:6" x14ac:dyDescent="0.25">
      <c r="A739" t="s">
        <v>1678</v>
      </c>
      <c r="B739" t="str">
        <f>"84145935      "</f>
        <v xml:space="preserve">84145935      </v>
      </c>
      <c r="C739" t="s">
        <v>3501</v>
      </c>
      <c r="D739" t="s">
        <v>3501</v>
      </c>
      <c r="E739" t="s">
        <v>3502</v>
      </c>
      <c r="F739" t="s">
        <v>3503</v>
      </c>
    </row>
    <row r="740" spans="1:6" x14ac:dyDescent="0.25">
      <c r="A740" t="s">
        <v>1678</v>
      </c>
      <c r="B740" t="str">
        <f>"84145995      "</f>
        <v xml:space="preserve">84145995      </v>
      </c>
      <c r="C740" t="s">
        <v>16</v>
      </c>
      <c r="D740" t="s">
        <v>16</v>
      </c>
      <c r="E740" t="s">
        <v>3504</v>
      </c>
      <c r="F740" t="s">
        <v>3505</v>
      </c>
    </row>
    <row r="741" spans="1:6" x14ac:dyDescent="0.25">
      <c r="A741" t="s">
        <v>1678</v>
      </c>
      <c r="B741" t="str">
        <f>"84146000      "</f>
        <v xml:space="preserve">84146000      </v>
      </c>
      <c r="C741" t="s">
        <v>3506</v>
      </c>
      <c r="D741" t="s">
        <v>3506</v>
      </c>
      <c r="E741" t="s">
        <v>3507</v>
      </c>
      <c r="F741" t="s">
        <v>3508</v>
      </c>
    </row>
    <row r="742" spans="1:6" x14ac:dyDescent="0.25">
      <c r="A742" t="s">
        <v>1678</v>
      </c>
      <c r="B742" t="str">
        <f>"84148011      "</f>
        <v xml:space="preserve">84148011      </v>
      </c>
      <c r="C742" t="s">
        <v>3509</v>
      </c>
      <c r="D742" t="s">
        <v>3509</v>
      </c>
      <c r="E742" t="s">
        <v>3510</v>
      </c>
      <c r="F742" t="s">
        <v>3511</v>
      </c>
    </row>
    <row r="743" spans="1:6" x14ac:dyDescent="0.25">
      <c r="A743" t="s">
        <v>1678</v>
      </c>
      <c r="B743" t="str">
        <f>"84148019      "</f>
        <v xml:space="preserve">84148019      </v>
      </c>
      <c r="C743" t="s">
        <v>3512</v>
      </c>
      <c r="D743" t="s">
        <v>3512</v>
      </c>
      <c r="E743" t="s">
        <v>3513</v>
      </c>
      <c r="F743" t="s">
        <v>3514</v>
      </c>
    </row>
    <row r="744" spans="1:6" x14ac:dyDescent="0.25">
      <c r="A744" t="s">
        <v>1678</v>
      </c>
      <c r="B744" t="str">
        <f>"84148022      "</f>
        <v xml:space="preserve">84148022      </v>
      </c>
      <c r="C744" t="s">
        <v>3515</v>
      </c>
      <c r="D744" t="s">
        <v>3515</v>
      </c>
      <c r="E744" t="s">
        <v>3516</v>
      </c>
      <c r="F744" t="s">
        <v>3517</v>
      </c>
    </row>
    <row r="745" spans="1:6" x14ac:dyDescent="0.25">
      <c r="A745" t="s">
        <v>1678</v>
      </c>
      <c r="B745" t="str">
        <f>"84148028      "</f>
        <v xml:space="preserve">84148028      </v>
      </c>
      <c r="C745" t="s">
        <v>3518</v>
      </c>
      <c r="D745" t="s">
        <v>3518</v>
      </c>
      <c r="E745" t="s">
        <v>3519</v>
      </c>
      <c r="F745" t="s">
        <v>3520</v>
      </c>
    </row>
    <row r="746" spans="1:6" x14ac:dyDescent="0.25">
      <c r="A746" t="s">
        <v>1678</v>
      </c>
      <c r="B746" t="str">
        <f>"84148051      "</f>
        <v xml:space="preserve">84148051      </v>
      </c>
      <c r="C746" t="s">
        <v>3521</v>
      </c>
      <c r="D746" t="s">
        <v>3521</v>
      </c>
      <c r="E746" t="s">
        <v>3522</v>
      </c>
      <c r="F746" t="s">
        <v>3523</v>
      </c>
    </row>
    <row r="747" spans="1:6" x14ac:dyDescent="0.25">
      <c r="A747" t="s">
        <v>1678</v>
      </c>
      <c r="B747" t="str">
        <f>"84148059      "</f>
        <v xml:space="preserve">84148059      </v>
      </c>
      <c r="C747" t="s">
        <v>3524</v>
      </c>
      <c r="D747" t="s">
        <v>3524</v>
      </c>
      <c r="E747" t="s">
        <v>3525</v>
      </c>
      <c r="F747" t="s">
        <v>3526</v>
      </c>
    </row>
    <row r="748" spans="1:6" x14ac:dyDescent="0.25">
      <c r="A748" t="s">
        <v>1678</v>
      </c>
      <c r="B748" t="str">
        <f>"84148073      "</f>
        <v xml:space="preserve">84148073      </v>
      </c>
      <c r="C748" t="s">
        <v>3527</v>
      </c>
      <c r="D748" t="s">
        <v>3527</v>
      </c>
      <c r="E748" t="s">
        <v>3528</v>
      </c>
      <c r="F748" t="s">
        <v>3529</v>
      </c>
    </row>
    <row r="749" spans="1:6" x14ac:dyDescent="0.25">
      <c r="A749" t="s">
        <v>1678</v>
      </c>
      <c r="B749" t="str">
        <f>"84148075      "</f>
        <v xml:space="preserve">84148075      </v>
      </c>
      <c r="C749" t="s">
        <v>3530</v>
      </c>
      <c r="D749" t="s">
        <v>3530</v>
      </c>
      <c r="E749" t="s">
        <v>3531</v>
      </c>
      <c r="F749" t="s">
        <v>3532</v>
      </c>
    </row>
    <row r="750" spans="1:6" x14ac:dyDescent="0.25">
      <c r="A750" t="s">
        <v>1678</v>
      </c>
      <c r="B750" t="str">
        <f>"84148078      "</f>
        <v xml:space="preserve">84148078      </v>
      </c>
      <c r="C750" t="s">
        <v>16</v>
      </c>
      <c r="D750" t="s">
        <v>16</v>
      </c>
      <c r="E750" t="s">
        <v>3533</v>
      </c>
      <c r="F750" t="s">
        <v>3534</v>
      </c>
    </row>
    <row r="751" spans="1:6" x14ac:dyDescent="0.25">
      <c r="A751" t="s">
        <v>1678</v>
      </c>
      <c r="B751" t="str">
        <f>"84148080      "</f>
        <v xml:space="preserve">84148080      </v>
      </c>
      <c r="C751" t="s">
        <v>16</v>
      </c>
      <c r="D751" t="s">
        <v>16</v>
      </c>
      <c r="E751" t="s">
        <v>3535</v>
      </c>
      <c r="F751" t="s">
        <v>3536</v>
      </c>
    </row>
    <row r="752" spans="1:6" x14ac:dyDescent="0.25">
      <c r="A752" t="s">
        <v>1678</v>
      </c>
      <c r="B752" t="str">
        <f>"84149000      "</f>
        <v xml:space="preserve">84149000      </v>
      </c>
      <c r="C752" t="s">
        <v>1205</v>
      </c>
      <c r="D752" t="s">
        <v>1205</v>
      </c>
      <c r="E752" t="s">
        <v>3537</v>
      </c>
      <c r="F752" t="s">
        <v>3538</v>
      </c>
    </row>
    <row r="753" spans="1:6" x14ac:dyDescent="0.25">
      <c r="A753" t="s">
        <v>1678</v>
      </c>
      <c r="B753" t="str">
        <f>"84181020      "</f>
        <v xml:space="preserve">84181020      </v>
      </c>
      <c r="C753" t="s">
        <v>3539</v>
      </c>
      <c r="D753" t="s">
        <v>3539</v>
      </c>
      <c r="E753" t="s">
        <v>3540</v>
      </c>
      <c r="F753" t="s">
        <v>3541</v>
      </c>
    </row>
    <row r="754" spans="1:6" x14ac:dyDescent="0.25">
      <c r="A754" t="s">
        <v>1678</v>
      </c>
      <c r="B754" t="str">
        <f>"84181080      "</f>
        <v xml:space="preserve">84181080      </v>
      </c>
      <c r="C754" t="s">
        <v>16</v>
      </c>
      <c r="D754" t="s">
        <v>16</v>
      </c>
      <c r="E754" t="s">
        <v>3542</v>
      </c>
      <c r="F754" t="s">
        <v>3543</v>
      </c>
    </row>
    <row r="755" spans="1:6" x14ac:dyDescent="0.25">
      <c r="A755" t="s">
        <v>1678</v>
      </c>
      <c r="B755" t="str">
        <f>"84381010      "</f>
        <v xml:space="preserve">84381010      </v>
      </c>
      <c r="C755" t="s">
        <v>3544</v>
      </c>
      <c r="D755" t="s">
        <v>3544</v>
      </c>
      <c r="E755" t="s">
        <v>3545</v>
      </c>
      <c r="F755" t="s">
        <v>3546</v>
      </c>
    </row>
    <row r="756" spans="1:6" x14ac:dyDescent="0.25">
      <c r="A756" t="s">
        <v>1678</v>
      </c>
      <c r="B756" t="str">
        <f>"84381090      "</f>
        <v xml:space="preserve">84381090      </v>
      </c>
      <c r="C756" t="s">
        <v>3547</v>
      </c>
      <c r="D756" t="s">
        <v>3547</v>
      </c>
      <c r="E756" t="s">
        <v>3548</v>
      </c>
      <c r="F756" t="s">
        <v>3549</v>
      </c>
    </row>
    <row r="757" spans="1:6" x14ac:dyDescent="0.25">
      <c r="A757" t="s">
        <v>1678</v>
      </c>
      <c r="B757" t="str">
        <f>"84382000      "</f>
        <v xml:space="preserve">84382000      </v>
      </c>
      <c r="C757" t="s">
        <v>3550</v>
      </c>
      <c r="D757" t="s">
        <v>3550</v>
      </c>
      <c r="E757" t="s">
        <v>3551</v>
      </c>
      <c r="F757" t="s">
        <v>3552</v>
      </c>
    </row>
    <row r="758" spans="1:6" x14ac:dyDescent="0.25">
      <c r="A758" t="s">
        <v>1678</v>
      </c>
      <c r="B758" t="str">
        <f>"84383000      "</f>
        <v xml:space="preserve">84383000      </v>
      </c>
      <c r="C758" t="s">
        <v>3553</v>
      </c>
      <c r="D758" t="s">
        <v>3553</v>
      </c>
      <c r="E758" t="s">
        <v>3554</v>
      </c>
      <c r="F758" t="s">
        <v>3555</v>
      </c>
    </row>
    <row r="759" spans="1:6" x14ac:dyDescent="0.25">
      <c r="A759" t="s">
        <v>1678</v>
      </c>
      <c r="B759" t="str">
        <f>"84384000      "</f>
        <v xml:space="preserve">84384000      </v>
      </c>
      <c r="C759" t="s">
        <v>3556</v>
      </c>
      <c r="D759" t="s">
        <v>3556</v>
      </c>
      <c r="E759" t="s">
        <v>3557</v>
      </c>
      <c r="F759" t="s">
        <v>3558</v>
      </c>
    </row>
    <row r="760" spans="1:6" x14ac:dyDescent="0.25">
      <c r="A760" t="s">
        <v>1678</v>
      </c>
      <c r="B760" t="str">
        <f>"84385000      "</f>
        <v xml:space="preserve">84385000      </v>
      </c>
      <c r="C760" t="s">
        <v>3559</v>
      </c>
      <c r="D760" t="s">
        <v>3559</v>
      </c>
      <c r="E760" t="s">
        <v>3560</v>
      </c>
      <c r="F760" t="s">
        <v>3561</v>
      </c>
    </row>
    <row r="761" spans="1:6" x14ac:dyDescent="0.25">
      <c r="A761" t="s">
        <v>1678</v>
      </c>
      <c r="B761" t="str">
        <f>"84386000      "</f>
        <v xml:space="preserve">84386000      </v>
      </c>
      <c r="C761" t="s">
        <v>3562</v>
      </c>
      <c r="D761" t="s">
        <v>3562</v>
      </c>
      <c r="E761" t="s">
        <v>3563</v>
      </c>
      <c r="F761" t="s">
        <v>3564</v>
      </c>
    </row>
    <row r="762" spans="1:6" x14ac:dyDescent="0.25">
      <c r="A762" t="s">
        <v>1678</v>
      </c>
      <c r="B762" t="str">
        <f>"84388010      "</f>
        <v xml:space="preserve">84388010      </v>
      </c>
      <c r="C762" t="s">
        <v>3565</v>
      </c>
      <c r="D762" t="s">
        <v>3565</v>
      </c>
      <c r="E762" t="s">
        <v>3566</v>
      </c>
      <c r="F762" t="s">
        <v>3567</v>
      </c>
    </row>
    <row r="763" spans="1:6" x14ac:dyDescent="0.25">
      <c r="A763" t="s">
        <v>1678</v>
      </c>
      <c r="B763" t="str">
        <f>"84388091      "</f>
        <v xml:space="preserve">84388091      </v>
      </c>
      <c r="C763" t="s">
        <v>3568</v>
      </c>
      <c r="D763" t="s">
        <v>3568</v>
      </c>
      <c r="E763" t="s">
        <v>3569</v>
      </c>
      <c r="F763" t="s">
        <v>3570</v>
      </c>
    </row>
    <row r="764" spans="1:6" x14ac:dyDescent="0.25">
      <c r="A764" t="s">
        <v>1678</v>
      </c>
      <c r="B764" t="str">
        <f>"84388099      "</f>
        <v xml:space="preserve">84388099      </v>
      </c>
      <c r="C764" t="s">
        <v>16</v>
      </c>
      <c r="D764" t="s">
        <v>16</v>
      </c>
      <c r="E764" t="s">
        <v>3571</v>
      </c>
      <c r="F764" t="s">
        <v>3572</v>
      </c>
    </row>
    <row r="765" spans="1:6" x14ac:dyDescent="0.25">
      <c r="A765" t="s">
        <v>1678</v>
      </c>
      <c r="B765" t="str">
        <f>"84389000      "</f>
        <v xml:space="preserve">84389000      </v>
      </c>
      <c r="C765" t="s">
        <v>1205</v>
      </c>
      <c r="D765" t="s">
        <v>1205</v>
      </c>
      <c r="E765" t="s">
        <v>3573</v>
      </c>
      <c r="F765" t="s">
        <v>3574</v>
      </c>
    </row>
    <row r="766" spans="1:6" x14ac:dyDescent="0.25">
      <c r="A766" t="s">
        <v>1678</v>
      </c>
      <c r="B766" t="str">
        <f>"84622910      "</f>
        <v xml:space="preserve">84622910      </v>
      </c>
      <c r="C766" t="s">
        <v>1085</v>
      </c>
      <c r="D766" t="s">
        <v>3575</v>
      </c>
      <c r="E766" t="s">
        <v>3576</v>
      </c>
      <c r="F766" t="s">
        <v>3577</v>
      </c>
    </row>
    <row r="767" spans="1:6" x14ac:dyDescent="0.25">
      <c r="A767" t="s">
        <v>1678</v>
      </c>
      <c r="B767" t="str">
        <f>"84792000      "</f>
        <v xml:space="preserve">84792000      </v>
      </c>
      <c r="C767" t="s">
        <v>3578</v>
      </c>
      <c r="D767" t="s">
        <v>3579</v>
      </c>
      <c r="E767" t="s">
        <v>3580</v>
      </c>
      <c r="F767" t="s">
        <v>3581</v>
      </c>
    </row>
    <row r="768" spans="1:6" x14ac:dyDescent="0.25">
      <c r="A768" t="s">
        <v>1678</v>
      </c>
      <c r="B768" t="str">
        <f>"84824000      "</f>
        <v xml:space="preserve">84824000      </v>
      </c>
      <c r="C768" t="s">
        <v>3582</v>
      </c>
      <c r="D768" t="s">
        <v>3583</v>
      </c>
      <c r="E768" t="s">
        <v>3584</v>
      </c>
      <c r="F768" t="s">
        <v>3585</v>
      </c>
    </row>
    <row r="769" spans="1:6" x14ac:dyDescent="0.25">
      <c r="A769" t="s">
        <v>1678</v>
      </c>
      <c r="B769" t="str">
        <f>"84825000      "</f>
        <v xml:space="preserve">84825000      </v>
      </c>
      <c r="C769" t="s">
        <v>3586</v>
      </c>
      <c r="D769" t="s">
        <v>3587</v>
      </c>
      <c r="E769" t="s">
        <v>3588</v>
      </c>
      <c r="F769" t="s">
        <v>3589</v>
      </c>
    </row>
    <row r="770" spans="1:6" x14ac:dyDescent="0.25">
      <c r="A770" t="s">
        <v>1678</v>
      </c>
      <c r="B770" t="str">
        <f>"84861000      "</f>
        <v xml:space="preserve">84861000      </v>
      </c>
      <c r="C770" t="s">
        <v>3590</v>
      </c>
      <c r="D770" t="s">
        <v>3590</v>
      </c>
      <c r="E770" t="s">
        <v>3591</v>
      </c>
      <c r="F770" t="s">
        <v>3592</v>
      </c>
    </row>
    <row r="771" spans="1:6" x14ac:dyDescent="0.25">
      <c r="A771" t="s">
        <v>1678</v>
      </c>
      <c r="B771" t="str">
        <f>"84862000      "</f>
        <v xml:space="preserve">84862000      </v>
      </c>
      <c r="C771" t="s">
        <v>3593</v>
      </c>
      <c r="D771" t="s">
        <v>3593</v>
      </c>
      <c r="E771" t="s">
        <v>3594</v>
      </c>
      <c r="F771" t="s">
        <v>3595</v>
      </c>
    </row>
    <row r="772" spans="1:6" x14ac:dyDescent="0.25">
      <c r="A772" t="s">
        <v>1678</v>
      </c>
      <c r="B772" t="str">
        <f>"84863000      "</f>
        <v xml:space="preserve">84863000      </v>
      </c>
      <c r="C772" t="s">
        <v>3596</v>
      </c>
      <c r="D772" t="s">
        <v>3596</v>
      </c>
      <c r="E772" t="s">
        <v>3597</v>
      </c>
      <c r="F772" t="s">
        <v>3598</v>
      </c>
    </row>
    <row r="773" spans="1:6" x14ac:dyDescent="0.25">
      <c r="A773" t="s">
        <v>1678</v>
      </c>
      <c r="B773" t="str">
        <f>"84864000      "</f>
        <v xml:space="preserve">84864000      </v>
      </c>
      <c r="C773" t="s">
        <v>3599</v>
      </c>
      <c r="D773" t="s">
        <v>3600</v>
      </c>
      <c r="E773" t="s">
        <v>3601</v>
      </c>
      <c r="F773" t="s">
        <v>3602</v>
      </c>
    </row>
    <row r="774" spans="1:6" x14ac:dyDescent="0.25">
      <c r="A774" t="s">
        <v>1678</v>
      </c>
      <c r="B774" t="str">
        <f>"84869000      "</f>
        <v xml:space="preserve">84869000      </v>
      </c>
      <c r="C774" t="s">
        <v>1476</v>
      </c>
      <c r="D774" t="s">
        <v>1476</v>
      </c>
      <c r="E774" t="s">
        <v>3603</v>
      </c>
      <c r="F774" t="s">
        <v>3604</v>
      </c>
    </row>
    <row r="775" spans="1:6" x14ac:dyDescent="0.25">
      <c r="A775" t="s">
        <v>1678</v>
      </c>
      <c r="B775" t="str">
        <f>"85013100      "</f>
        <v xml:space="preserve">85013100      </v>
      </c>
      <c r="C775" t="s">
        <v>3605</v>
      </c>
      <c r="D775" t="s">
        <v>3605</v>
      </c>
      <c r="E775" t="s">
        <v>3606</v>
      </c>
      <c r="F775" t="s">
        <v>3607</v>
      </c>
    </row>
    <row r="776" spans="1:6" x14ac:dyDescent="0.25">
      <c r="A776" t="s">
        <v>1678</v>
      </c>
      <c r="B776" t="str">
        <f>"85013200      "</f>
        <v xml:space="preserve">85013200      </v>
      </c>
      <c r="C776" t="s">
        <v>3608</v>
      </c>
      <c r="D776" t="s">
        <v>3608</v>
      </c>
      <c r="E776" t="s">
        <v>3609</v>
      </c>
      <c r="F776" t="s">
        <v>3610</v>
      </c>
    </row>
    <row r="777" spans="1:6" x14ac:dyDescent="0.25">
      <c r="A777" t="s">
        <v>1678</v>
      </c>
      <c r="B777" t="str">
        <f>"85013300      "</f>
        <v xml:space="preserve">85013300      </v>
      </c>
      <c r="C777" t="s">
        <v>3611</v>
      </c>
      <c r="D777" t="s">
        <v>3611</v>
      </c>
      <c r="E777" t="s">
        <v>3612</v>
      </c>
      <c r="F777" t="s">
        <v>3613</v>
      </c>
    </row>
    <row r="778" spans="1:6" x14ac:dyDescent="0.25">
      <c r="A778" t="s">
        <v>1678</v>
      </c>
      <c r="B778" t="str">
        <f>"85013400      "</f>
        <v xml:space="preserve">85013400      </v>
      </c>
      <c r="C778" t="s">
        <v>3614</v>
      </c>
      <c r="D778" t="s">
        <v>3614</v>
      </c>
      <c r="E778" t="s">
        <v>3615</v>
      </c>
      <c r="F778" t="s">
        <v>3616</v>
      </c>
    </row>
    <row r="779" spans="1:6" x14ac:dyDescent="0.25">
      <c r="A779" t="s">
        <v>1678</v>
      </c>
      <c r="B779" t="str">
        <f>"85016120      "</f>
        <v xml:space="preserve">85016120      </v>
      </c>
      <c r="C779" t="s">
        <v>3617</v>
      </c>
      <c r="D779" t="s">
        <v>3617</v>
      </c>
      <c r="E779" t="s">
        <v>3618</v>
      </c>
      <c r="F779" t="s">
        <v>3619</v>
      </c>
    </row>
    <row r="780" spans="1:6" x14ac:dyDescent="0.25">
      <c r="A780" t="s">
        <v>1678</v>
      </c>
      <c r="B780" t="str">
        <f>"85016180      "</f>
        <v xml:space="preserve">85016180      </v>
      </c>
      <c r="C780" t="s">
        <v>3620</v>
      </c>
      <c r="D780" t="s">
        <v>3620</v>
      </c>
      <c r="E780" t="s">
        <v>3621</v>
      </c>
      <c r="F780" t="s">
        <v>3622</v>
      </c>
    </row>
    <row r="781" spans="1:6" x14ac:dyDescent="0.25">
      <c r="A781" t="s">
        <v>1678</v>
      </c>
      <c r="B781" t="str">
        <f>"85016200      "</f>
        <v xml:space="preserve">85016200      </v>
      </c>
      <c r="C781" t="s">
        <v>3623</v>
      </c>
      <c r="D781" t="s">
        <v>3623</v>
      </c>
      <c r="E781" t="s">
        <v>3624</v>
      </c>
      <c r="F781" t="s">
        <v>3625</v>
      </c>
    </row>
    <row r="782" spans="1:6" x14ac:dyDescent="0.25">
      <c r="A782" t="s">
        <v>1678</v>
      </c>
      <c r="B782" t="str">
        <f>"85016300      "</f>
        <v xml:space="preserve">85016300      </v>
      </c>
      <c r="C782" t="s">
        <v>3626</v>
      </c>
      <c r="D782" t="s">
        <v>3626</v>
      </c>
      <c r="E782" t="s">
        <v>3627</v>
      </c>
      <c r="F782" t="s">
        <v>3628</v>
      </c>
    </row>
    <row r="783" spans="1:6" x14ac:dyDescent="0.25">
      <c r="A783" t="s">
        <v>1678</v>
      </c>
      <c r="B783" t="str">
        <f>"85016400      "</f>
        <v xml:space="preserve">85016400      </v>
      </c>
      <c r="C783" t="s">
        <v>3629</v>
      </c>
      <c r="D783" t="s">
        <v>3629</v>
      </c>
      <c r="E783" t="s">
        <v>3630</v>
      </c>
      <c r="F783" t="s">
        <v>3631</v>
      </c>
    </row>
    <row r="784" spans="1:6" x14ac:dyDescent="0.25">
      <c r="A784" t="s">
        <v>1678</v>
      </c>
      <c r="B784" t="str">
        <f>"85149030      "</f>
        <v xml:space="preserve">85149030      </v>
      </c>
      <c r="C784" t="s">
        <v>3632</v>
      </c>
      <c r="D784" t="s">
        <v>3633</v>
      </c>
      <c r="E784" t="s">
        <v>3634</v>
      </c>
      <c r="F784" t="s">
        <v>3635</v>
      </c>
    </row>
    <row r="785" spans="1:6" x14ac:dyDescent="0.25">
      <c r="A785" t="s">
        <v>1678</v>
      </c>
      <c r="B785" t="str">
        <f>"85171100      "</f>
        <v xml:space="preserve">85171100      </v>
      </c>
      <c r="C785" t="s">
        <v>3636</v>
      </c>
      <c r="D785" t="s">
        <v>3636</v>
      </c>
      <c r="E785" t="s">
        <v>3637</v>
      </c>
      <c r="F785" t="s">
        <v>3638</v>
      </c>
    </row>
    <row r="786" spans="1:6" x14ac:dyDescent="0.25">
      <c r="A786" t="s">
        <v>1678</v>
      </c>
      <c r="B786" t="str">
        <f>"85171800      "</f>
        <v xml:space="preserve">85171800      </v>
      </c>
      <c r="C786" t="s">
        <v>16</v>
      </c>
      <c r="D786" t="s">
        <v>16</v>
      </c>
      <c r="E786" t="s">
        <v>3639</v>
      </c>
      <c r="F786" t="s">
        <v>3640</v>
      </c>
    </row>
    <row r="787" spans="1:6" x14ac:dyDescent="0.25">
      <c r="A787" t="s">
        <v>1678</v>
      </c>
      <c r="B787" t="str">
        <f>"85176100      "</f>
        <v xml:space="preserve">85176100      </v>
      </c>
      <c r="C787" t="s">
        <v>3641</v>
      </c>
      <c r="D787" t="s">
        <v>3641</v>
      </c>
      <c r="E787" t="s">
        <v>3642</v>
      </c>
      <c r="F787" t="s">
        <v>3643</v>
      </c>
    </row>
    <row r="788" spans="1:6" x14ac:dyDescent="0.25">
      <c r="A788" t="s">
        <v>1678</v>
      </c>
      <c r="B788" t="str">
        <f>"85176200      "</f>
        <v xml:space="preserve">85176200      </v>
      </c>
      <c r="C788" t="s">
        <v>3644</v>
      </c>
      <c r="D788" t="s">
        <v>3644</v>
      </c>
      <c r="E788" t="s">
        <v>3645</v>
      </c>
      <c r="F788" t="s">
        <v>3646</v>
      </c>
    </row>
    <row r="789" spans="1:6" x14ac:dyDescent="0.25">
      <c r="A789" t="s">
        <v>1678</v>
      </c>
      <c r="B789" t="str">
        <f>"85176910      "</f>
        <v xml:space="preserve">85176910      </v>
      </c>
      <c r="C789" t="s">
        <v>3647</v>
      </c>
      <c r="D789" t="s">
        <v>3647</v>
      </c>
      <c r="E789" t="s">
        <v>3648</v>
      </c>
      <c r="F789" t="s">
        <v>3649</v>
      </c>
    </row>
    <row r="790" spans="1:6" x14ac:dyDescent="0.25">
      <c r="A790" t="s">
        <v>1678</v>
      </c>
      <c r="B790" t="str">
        <f>"85176920      "</f>
        <v xml:space="preserve">85176920      </v>
      </c>
      <c r="C790" t="s">
        <v>3650</v>
      </c>
      <c r="D790" t="s">
        <v>3650</v>
      </c>
      <c r="E790" t="s">
        <v>3651</v>
      </c>
      <c r="F790" t="s">
        <v>3652</v>
      </c>
    </row>
    <row r="791" spans="1:6" x14ac:dyDescent="0.25">
      <c r="A791" t="s">
        <v>1678</v>
      </c>
      <c r="B791" t="str">
        <f>"85176930      "</f>
        <v xml:space="preserve">85176930      </v>
      </c>
      <c r="C791" t="s">
        <v>3653</v>
      </c>
      <c r="D791" t="s">
        <v>3653</v>
      </c>
      <c r="E791" t="s">
        <v>3654</v>
      </c>
      <c r="F791" t="s">
        <v>3655</v>
      </c>
    </row>
    <row r="792" spans="1:6" x14ac:dyDescent="0.25">
      <c r="A792" t="s">
        <v>1678</v>
      </c>
      <c r="B792" t="str">
        <f>"85176990      "</f>
        <v xml:space="preserve">85176990      </v>
      </c>
      <c r="C792" t="s">
        <v>16</v>
      </c>
      <c r="D792" t="s">
        <v>16</v>
      </c>
      <c r="E792" t="s">
        <v>3656</v>
      </c>
      <c r="F792" t="s">
        <v>3657</v>
      </c>
    </row>
    <row r="793" spans="1:6" x14ac:dyDescent="0.25">
      <c r="A793" t="s">
        <v>1678</v>
      </c>
      <c r="B793" t="str">
        <f>"85291011      "</f>
        <v xml:space="preserve">85291011      </v>
      </c>
      <c r="C793" t="s">
        <v>3658</v>
      </c>
      <c r="D793" t="s">
        <v>3658</v>
      </c>
      <c r="E793" t="s">
        <v>3659</v>
      </c>
      <c r="F793" t="s">
        <v>3660</v>
      </c>
    </row>
    <row r="794" spans="1:6" x14ac:dyDescent="0.25">
      <c r="A794" t="s">
        <v>1678</v>
      </c>
      <c r="B794" t="str">
        <f>"85291030      "</f>
        <v xml:space="preserve">85291030      </v>
      </c>
      <c r="C794" t="s">
        <v>3661</v>
      </c>
      <c r="D794" t="s">
        <v>3661</v>
      </c>
      <c r="E794" t="s">
        <v>3662</v>
      </c>
      <c r="F794" t="s">
        <v>3663</v>
      </c>
    </row>
    <row r="795" spans="1:6" x14ac:dyDescent="0.25">
      <c r="A795" t="s">
        <v>1678</v>
      </c>
      <c r="B795" t="str">
        <f>"85291065      "</f>
        <v xml:space="preserve">85291065      </v>
      </c>
      <c r="C795" t="s">
        <v>3664</v>
      </c>
      <c r="D795" t="s">
        <v>3664</v>
      </c>
      <c r="E795" t="s">
        <v>3665</v>
      </c>
      <c r="F795" t="s">
        <v>3666</v>
      </c>
    </row>
    <row r="796" spans="1:6" x14ac:dyDescent="0.25">
      <c r="A796" t="s">
        <v>1678</v>
      </c>
      <c r="B796" t="str">
        <f>"85291069      "</f>
        <v xml:space="preserve">85291069      </v>
      </c>
      <c r="C796" t="s">
        <v>16</v>
      </c>
      <c r="D796" t="s">
        <v>16</v>
      </c>
      <c r="E796" t="s">
        <v>3667</v>
      </c>
      <c r="F796" t="s">
        <v>3668</v>
      </c>
    </row>
    <row r="797" spans="1:6" x14ac:dyDescent="0.25">
      <c r="A797" t="s">
        <v>1678</v>
      </c>
      <c r="B797" t="str">
        <f>"85291080      "</f>
        <v xml:space="preserve">85291080      </v>
      </c>
      <c r="C797" t="s">
        <v>3669</v>
      </c>
      <c r="D797" t="s">
        <v>3669</v>
      </c>
      <c r="E797" t="s">
        <v>3670</v>
      </c>
      <c r="F797" t="s">
        <v>3671</v>
      </c>
    </row>
    <row r="798" spans="1:6" x14ac:dyDescent="0.25">
      <c r="A798" t="s">
        <v>1678</v>
      </c>
      <c r="B798" t="str">
        <f>"85291095      "</f>
        <v xml:space="preserve">85291095      </v>
      </c>
      <c r="C798" t="s">
        <v>16</v>
      </c>
      <c r="D798" t="s">
        <v>16</v>
      </c>
      <c r="E798" t="s">
        <v>3672</v>
      </c>
      <c r="F798" t="s">
        <v>3673</v>
      </c>
    </row>
    <row r="799" spans="1:6" x14ac:dyDescent="0.25">
      <c r="A799" t="s">
        <v>1678</v>
      </c>
      <c r="B799" t="str">
        <f>"85299015      "</f>
        <v xml:space="preserve">85299015      </v>
      </c>
      <c r="C799" t="s">
        <v>3674</v>
      </c>
      <c r="D799" t="s">
        <v>3675</v>
      </c>
      <c r="E799" t="s">
        <v>3676</v>
      </c>
      <c r="F799" t="s">
        <v>3677</v>
      </c>
    </row>
    <row r="800" spans="1:6" x14ac:dyDescent="0.25">
      <c r="A800" t="s">
        <v>1678</v>
      </c>
      <c r="B800" t="str">
        <f>"85299020      "</f>
        <v xml:space="preserve">85299020      </v>
      </c>
      <c r="C800" t="s">
        <v>3678</v>
      </c>
      <c r="D800" t="s">
        <v>3679</v>
      </c>
      <c r="E800" t="s">
        <v>3680</v>
      </c>
      <c r="F800" t="s">
        <v>3681</v>
      </c>
    </row>
    <row r="801" spans="1:6" x14ac:dyDescent="0.25">
      <c r="A801" t="s">
        <v>1678</v>
      </c>
      <c r="B801" t="str">
        <f>"85299065      "</f>
        <v xml:space="preserve">85299065      </v>
      </c>
      <c r="C801" t="s">
        <v>3682</v>
      </c>
      <c r="D801" t="s">
        <v>3682</v>
      </c>
      <c r="E801" t="s">
        <v>3683</v>
      </c>
      <c r="F801" t="s">
        <v>3684</v>
      </c>
    </row>
    <row r="802" spans="1:6" x14ac:dyDescent="0.25">
      <c r="A802" t="s">
        <v>1678</v>
      </c>
      <c r="B802" t="str">
        <f>"85299091      "</f>
        <v xml:space="preserve">85299091      </v>
      </c>
      <c r="C802" t="s">
        <v>1279</v>
      </c>
      <c r="D802" t="s">
        <v>1279</v>
      </c>
      <c r="E802" t="s">
        <v>3685</v>
      </c>
      <c r="F802" t="s">
        <v>3686</v>
      </c>
    </row>
    <row r="803" spans="1:6" x14ac:dyDescent="0.25">
      <c r="A803" t="s">
        <v>1678</v>
      </c>
      <c r="B803" t="str">
        <f>"85299092      "</f>
        <v xml:space="preserve">85299092      </v>
      </c>
      <c r="C803" t="s">
        <v>3687</v>
      </c>
      <c r="D803" t="s">
        <v>3688</v>
      </c>
      <c r="E803" t="s">
        <v>3689</v>
      </c>
      <c r="F803" t="s">
        <v>3690</v>
      </c>
    </row>
    <row r="804" spans="1:6" x14ac:dyDescent="0.25">
      <c r="A804" t="s">
        <v>1678</v>
      </c>
      <c r="B804" t="str">
        <f>"85299097      "</f>
        <v xml:space="preserve">85299097      </v>
      </c>
      <c r="C804" t="s">
        <v>16</v>
      </c>
      <c r="D804" t="s">
        <v>16</v>
      </c>
      <c r="E804" t="s">
        <v>3691</v>
      </c>
      <c r="F804" t="s">
        <v>3692</v>
      </c>
    </row>
    <row r="805" spans="1:6" x14ac:dyDescent="0.25">
      <c r="A805" t="s">
        <v>1678</v>
      </c>
      <c r="B805" t="str">
        <f>"85391000      "</f>
        <v xml:space="preserve">85391000      </v>
      </c>
      <c r="C805" t="s">
        <v>3693</v>
      </c>
      <c r="D805" t="s">
        <v>3693</v>
      </c>
      <c r="E805" t="s">
        <v>3694</v>
      </c>
      <c r="F805" t="s">
        <v>3695</v>
      </c>
    </row>
    <row r="806" spans="1:6" x14ac:dyDescent="0.25">
      <c r="A806" t="s">
        <v>1678</v>
      </c>
      <c r="B806" t="str">
        <f>"85392130      "</f>
        <v xml:space="preserve">85392130      </v>
      </c>
      <c r="C806" t="s">
        <v>3696</v>
      </c>
      <c r="D806" t="s">
        <v>3696</v>
      </c>
      <c r="E806" t="s">
        <v>3697</v>
      </c>
      <c r="F806" t="s">
        <v>3698</v>
      </c>
    </row>
    <row r="807" spans="1:6" x14ac:dyDescent="0.25">
      <c r="A807" t="s">
        <v>1678</v>
      </c>
      <c r="B807" t="str">
        <f>"85392192      "</f>
        <v xml:space="preserve">85392192      </v>
      </c>
      <c r="C807" t="s">
        <v>3699</v>
      </c>
      <c r="D807" t="s">
        <v>3699</v>
      </c>
      <c r="E807" t="s">
        <v>3700</v>
      </c>
      <c r="F807" t="s">
        <v>3701</v>
      </c>
    </row>
    <row r="808" spans="1:6" x14ac:dyDescent="0.25">
      <c r="A808" t="s">
        <v>1678</v>
      </c>
      <c r="B808" t="str">
        <f>"85392198      "</f>
        <v xml:space="preserve">85392198      </v>
      </c>
      <c r="C808" t="s">
        <v>3702</v>
      </c>
      <c r="D808" t="s">
        <v>3702</v>
      </c>
      <c r="E808" t="s">
        <v>3703</v>
      </c>
      <c r="F808" t="s">
        <v>3704</v>
      </c>
    </row>
    <row r="809" spans="1:6" x14ac:dyDescent="0.25">
      <c r="A809" t="s">
        <v>1678</v>
      </c>
      <c r="B809" t="str">
        <f>"85392210      "</f>
        <v xml:space="preserve">85392210      </v>
      </c>
      <c r="C809" t="s">
        <v>3705</v>
      </c>
      <c r="D809" t="s">
        <v>3705</v>
      </c>
      <c r="E809" t="s">
        <v>3706</v>
      </c>
      <c r="F809" t="s">
        <v>3707</v>
      </c>
    </row>
    <row r="810" spans="1:6" x14ac:dyDescent="0.25">
      <c r="A810" t="s">
        <v>1678</v>
      </c>
      <c r="B810" t="str">
        <f>"85392290      "</f>
        <v xml:space="preserve">85392290      </v>
      </c>
      <c r="C810" t="s">
        <v>16</v>
      </c>
      <c r="D810" t="s">
        <v>16</v>
      </c>
      <c r="E810" t="s">
        <v>3708</v>
      </c>
      <c r="F810" t="s">
        <v>3709</v>
      </c>
    </row>
    <row r="811" spans="1:6" x14ac:dyDescent="0.25">
      <c r="A811" t="s">
        <v>1678</v>
      </c>
      <c r="B811" t="str">
        <f>"85392930      "</f>
        <v xml:space="preserve">85392930      </v>
      </c>
      <c r="C811" t="s">
        <v>3696</v>
      </c>
      <c r="D811" t="s">
        <v>3696</v>
      </c>
      <c r="E811" t="s">
        <v>3710</v>
      </c>
      <c r="F811" t="s">
        <v>3711</v>
      </c>
    </row>
    <row r="812" spans="1:6" x14ac:dyDescent="0.25">
      <c r="A812" t="s">
        <v>1678</v>
      </c>
      <c r="B812" t="str">
        <f>"85392992      "</f>
        <v xml:space="preserve">85392992      </v>
      </c>
      <c r="C812" t="s">
        <v>3699</v>
      </c>
      <c r="D812" t="s">
        <v>3699</v>
      </c>
      <c r="E812" t="s">
        <v>3712</v>
      </c>
      <c r="F812" t="s">
        <v>3713</v>
      </c>
    </row>
    <row r="813" spans="1:6" x14ac:dyDescent="0.25">
      <c r="A813" t="s">
        <v>1678</v>
      </c>
      <c r="B813" t="str">
        <f>"85392998      "</f>
        <v xml:space="preserve">85392998      </v>
      </c>
      <c r="C813" t="s">
        <v>3702</v>
      </c>
      <c r="D813" t="s">
        <v>3702</v>
      </c>
      <c r="E813" t="s">
        <v>3714</v>
      </c>
      <c r="F813" t="s">
        <v>3715</v>
      </c>
    </row>
    <row r="814" spans="1:6" x14ac:dyDescent="0.25">
      <c r="A814" t="s">
        <v>1678</v>
      </c>
      <c r="B814" t="str">
        <f>"85393110      "</f>
        <v xml:space="preserve">85393110      </v>
      </c>
      <c r="C814" t="s">
        <v>3716</v>
      </c>
      <c r="D814" t="s">
        <v>3716</v>
      </c>
      <c r="E814" t="s">
        <v>3717</v>
      </c>
      <c r="F814" t="s">
        <v>3718</v>
      </c>
    </row>
    <row r="815" spans="1:6" x14ac:dyDescent="0.25">
      <c r="A815" t="s">
        <v>1678</v>
      </c>
      <c r="B815" t="str">
        <f>"85393190      "</f>
        <v xml:space="preserve">85393190      </v>
      </c>
      <c r="C815" t="s">
        <v>16</v>
      </c>
      <c r="D815" t="s">
        <v>16</v>
      </c>
      <c r="E815" t="s">
        <v>3719</v>
      </c>
      <c r="F815" t="s">
        <v>3720</v>
      </c>
    </row>
    <row r="816" spans="1:6" x14ac:dyDescent="0.25">
      <c r="A816" t="s">
        <v>1678</v>
      </c>
      <c r="B816" t="str">
        <f>"85393220      "</f>
        <v xml:space="preserve">85393220      </v>
      </c>
      <c r="C816" t="s">
        <v>3721</v>
      </c>
      <c r="D816" t="s">
        <v>3721</v>
      </c>
      <c r="E816" t="s">
        <v>3722</v>
      </c>
      <c r="F816" t="s">
        <v>3723</v>
      </c>
    </row>
    <row r="817" spans="1:6" x14ac:dyDescent="0.25">
      <c r="A817" t="s">
        <v>1678</v>
      </c>
      <c r="B817" t="str">
        <f>"85393290      "</f>
        <v xml:space="preserve">85393290      </v>
      </c>
      <c r="C817" t="s">
        <v>3724</v>
      </c>
      <c r="D817" t="s">
        <v>3724</v>
      </c>
      <c r="E817" t="s">
        <v>3725</v>
      </c>
      <c r="F817" t="s">
        <v>3726</v>
      </c>
    </row>
    <row r="818" spans="1:6" x14ac:dyDescent="0.25">
      <c r="A818" t="s">
        <v>1678</v>
      </c>
      <c r="B818" t="str">
        <f>"85393920      "</f>
        <v xml:space="preserve">85393920      </v>
      </c>
      <c r="C818" t="s">
        <v>3727</v>
      </c>
      <c r="D818" t="s">
        <v>3727</v>
      </c>
      <c r="E818" t="s">
        <v>3728</v>
      </c>
      <c r="F818" t="s">
        <v>3729</v>
      </c>
    </row>
    <row r="819" spans="1:6" x14ac:dyDescent="0.25">
      <c r="A819" t="s">
        <v>1678</v>
      </c>
      <c r="B819" t="str">
        <f>"85393980      "</f>
        <v xml:space="preserve">85393980      </v>
      </c>
      <c r="C819" t="s">
        <v>16</v>
      </c>
      <c r="D819" t="s">
        <v>16</v>
      </c>
      <c r="E819" t="s">
        <v>3730</v>
      </c>
      <c r="F819" t="s">
        <v>3731</v>
      </c>
    </row>
    <row r="820" spans="1:6" x14ac:dyDescent="0.25">
      <c r="A820" t="s">
        <v>1678</v>
      </c>
      <c r="B820" t="str">
        <f>"85394100      "</f>
        <v xml:space="preserve">85394100      </v>
      </c>
      <c r="C820" t="s">
        <v>3732</v>
      </c>
      <c r="D820" t="s">
        <v>3732</v>
      </c>
      <c r="E820" t="s">
        <v>3733</v>
      </c>
      <c r="F820" t="s">
        <v>3734</v>
      </c>
    </row>
    <row r="821" spans="1:6" x14ac:dyDescent="0.25">
      <c r="A821" t="s">
        <v>1678</v>
      </c>
      <c r="B821" t="str">
        <f>"85394900      "</f>
        <v xml:space="preserve">85394900      </v>
      </c>
      <c r="C821" t="s">
        <v>16</v>
      </c>
      <c r="D821" t="s">
        <v>16</v>
      </c>
      <c r="E821" t="s">
        <v>3735</v>
      </c>
      <c r="F821" t="s">
        <v>3736</v>
      </c>
    </row>
    <row r="822" spans="1:6" x14ac:dyDescent="0.25">
      <c r="A822" t="s">
        <v>1678</v>
      </c>
      <c r="B822" t="str">
        <f>"85399010      "</f>
        <v xml:space="preserve">85399010      </v>
      </c>
      <c r="C822" t="s">
        <v>3737</v>
      </c>
      <c r="D822" t="s">
        <v>3737</v>
      </c>
      <c r="E822" t="s">
        <v>3738</v>
      </c>
      <c r="F822" t="s">
        <v>3739</v>
      </c>
    </row>
    <row r="823" spans="1:6" x14ac:dyDescent="0.25">
      <c r="A823" t="s">
        <v>1678</v>
      </c>
      <c r="B823" t="str">
        <f>"85399090      "</f>
        <v xml:space="preserve">85399090      </v>
      </c>
      <c r="C823" t="s">
        <v>16</v>
      </c>
      <c r="D823" t="s">
        <v>16</v>
      </c>
      <c r="E823" t="s">
        <v>3740</v>
      </c>
      <c r="F823" t="s">
        <v>3741</v>
      </c>
    </row>
    <row r="824" spans="1:6" x14ac:dyDescent="0.25">
      <c r="A824" t="s">
        <v>1678</v>
      </c>
      <c r="B824" t="str">
        <f>"85411000      "</f>
        <v xml:space="preserve">85411000      </v>
      </c>
      <c r="C824" t="s">
        <v>3742</v>
      </c>
      <c r="D824" t="s">
        <v>3742</v>
      </c>
      <c r="E824" t="s">
        <v>3743</v>
      </c>
      <c r="F824" t="s">
        <v>3744</v>
      </c>
    </row>
    <row r="825" spans="1:6" x14ac:dyDescent="0.25">
      <c r="A825" t="s">
        <v>1678</v>
      </c>
      <c r="B825" t="str">
        <f>"85412100      "</f>
        <v xml:space="preserve">85412100      </v>
      </c>
      <c r="C825" t="s">
        <v>3745</v>
      </c>
      <c r="D825" t="s">
        <v>3745</v>
      </c>
      <c r="E825" t="s">
        <v>3746</v>
      </c>
      <c r="F825" t="s">
        <v>3747</v>
      </c>
    </row>
    <row r="826" spans="1:6" x14ac:dyDescent="0.25">
      <c r="A826" t="s">
        <v>1678</v>
      </c>
      <c r="B826" t="str">
        <f>"85412900      "</f>
        <v xml:space="preserve">85412900      </v>
      </c>
      <c r="C826" t="s">
        <v>16</v>
      </c>
      <c r="D826" t="s">
        <v>16</v>
      </c>
      <c r="E826" t="s">
        <v>3748</v>
      </c>
      <c r="F826" t="s">
        <v>3749</v>
      </c>
    </row>
    <row r="827" spans="1:6" x14ac:dyDescent="0.25">
      <c r="A827" t="s">
        <v>1678</v>
      </c>
      <c r="B827" t="str">
        <f>"85413000      "</f>
        <v xml:space="preserve">85413000      </v>
      </c>
      <c r="C827" t="s">
        <v>3750</v>
      </c>
      <c r="D827" t="s">
        <v>3750</v>
      </c>
      <c r="E827" t="s">
        <v>3751</v>
      </c>
      <c r="F827" t="s">
        <v>3752</v>
      </c>
    </row>
    <row r="828" spans="1:6" x14ac:dyDescent="0.25">
      <c r="A828" t="s">
        <v>1678</v>
      </c>
      <c r="B828" t="str">
        <f>"85416000      "</f>
        <v xml:space="preserve">85416000      </v>
      </c>
      <c r="C828" t="s">
        <v>3753</v>
      </c>
      <c r="D828" t="s">
        <v>3754</v>
      </c>
      <c r="E828" t="s">
        <v>3755</v>
      </c>
      <c r="F828" t="s">
        <v>3756</v>
      </c>
    </row>
    <row r="829" spans="1:6" x14ac:dyDescent="0.25">
      <c r="A829" t="s">
        <v>1678</v>
      </c>
      <c r="B829" t="str">
        <f>"85419000      "</f>
        <v xml:space="preserve">85419000      </v>
      </c>
      <c r="C829" t="s">
        <v>1205</v>
      </c>
      <c r="D829" t="s">
        <v>1205</v>
      </c>
      <c r="E829" t="s">
        <v>3757</v>
      </c>
      <c r="F829" t="s">
        <v>3758</v>
      </c>
    </row>
    <row r="830" spans="1:6" x14ac:dyDescent="0.25">
      <c r="A830" t="s">
        <v>1678</v>
      </c>
      <c r="B830" t="str">
        <f>"85423111      "</f>
        <v xml:space="preserve">85423111      </v>
      </c>
      <c r="C830" t="s">
        <v>3759</v>
      </c>
      <c r="D830" t="s">
        <v>3759</v>
      </c>
      <c r="E830" t="s">
        <v>3760</v>
      </c>
      <c r="F830" t="s">
        <v>3761</v>
      </c>
    </row>
    <row r="831" spans="1:6" x14ac:dyDescent="0.25">
      <c r="A831" t="s">
        <v>1678</v>
      </c>
      <c r="B831" t="str">
        <f>"85423119      "</f>
        <v xml:space="preserve">85423119      </v>
      </c>
      <c r="C831" t="s">
        <v>16</v>
      </c>
      <c r="D831" t="s">
        <v>16</v>
      </c>
      <c r="E831" t="s">
        <v>3762</v>
      </c>
      <c r="F831" t="s">
        <v>3763</v>
      </c>
    </row>
    <row r="832" spans="1:6" x14ac:dyDescent="0.25">
      <c r="A832" t="s">
        <v>1678</v>
      </c>
      <c r="B832" t="str">
        <f>"85423211      "</f>
        <v xml:space="preserve">85423211      </v>
      </c>
      <c r="C832" t="s">
        <v>3759</v>
      </c>
      <c r="D832" t="s">
        <v>3759</v>
      </c>
      <c r="E832" t="s">
        <v>3764</v>
      </c>
      <c r="F832" t="s">
        <v>3765</v>
      </c>
    </row>
    <row r="833" spans="1:6" x14ac:dyDescent="0.25">
      <c r="A833" t="s">
        <v>1678</v>
      </c>
      <c r="B833" t="str">
        <f>"85423219      "</f>
        <v xml:space="preserve">85423219      </v>
      </c>
      <c r="C833" t="s">
        <v>16</v>
      </c>
      <c r="D833" t="s">
        <v>16</v>
      </c>
      <c r="E833" t="s">
        <v>3766</v>
      </c>
      <c r="F833" t="s">
        <v>3767</v>
      </c>
    </row>
    <row r="834" spans="1:6" x14ac:dyDescent="0.25">
      <c r="A834" t="s">
        <v>1678</v>
      </c>
      <c r="B834" t="str">
        <f>"85423911      "</f>
        <v xml:space="preserve">85423911      </v>
      </c>
      <c r="C834" t="s">
        <v>3759</v>
      </c>
      <c r="D834" t="s">
        <v>3759</v>
      </c>
      <c r="E834" t="s">
        <v>3768</v>
      </c>
      <c r="F834" t="s">
        <v>3769</v>
      </c>
    </row>
    <row r="835" spans="1:6" x14ac:dyDescent="0.25">
      <c r="A835" t="s">
        <v>1678</v>
      </c>
      <c r="B835" t="str">
        <f>"85423919      "</f>
        <v xml:space="preserve">85423919      </v>
      </c>
      <c r="C835" t="s">
        <v>16</v>
      </c>
      <c r="D835" t="s">
        <v>16</v>
      </c>
      <c r="E835" t="s">
        <v>3770</v>
      </c>
      <c r="F835" t="s">
        <v>3771</v>
      </c>
    </row>
    <row r="836" spans="1:6" x14ac:dyDescent="0.25">
      <c r="A836" t="s">
        <v>1678</v>
      </c>
      <c r="B836" t="str">
        <f>"87023010      "</f>
        <v xml:space="preserve">87023010      </v>
      </c>
      <c r="C836" t="s">
        <v>3772</v>
      </c>
      <c r="D836" t="s">
        <v>3772</v>
      </c>
      <c r="E836" t="s">
        <v>3773</v>
      </c>
      <c r="F836" t="s">
        <v>3774</v>
      </c>
    </row>
    <row r="837" spans="1:6" x14ac:dyDescent="0.25">
      <c r="A837" t="s">
        <v>1678</v>
      </c>
      <c r="B837" t="str">
        <f>"87023090      "</f>
        <v xml:space="preserve">87023090      </v>
      </c>
      <c r="C837" t="s">
        <v>3775</v>
      </c>
      <c r="D837" t="s">
        <v>3775</v>
      </c>
      <c r="E837" t="s">
        <v>3776</v>
      </c>
      <c r="F837" t="s">
        <v>3777</v>
      </c>
    </row>
    <row r="838" spans="1:6" x14ac:dyDescent="0.25">
      <c r="A838" t="s">
        <v>1678</v>
      </c>
      <c r="B838" t="str">
        <f>"87032110      "</f>
        <v xml:space="preserve">87032110      </v>
      </c>
      <c r="C838" t="s">
        <v>3</v>
      </c>
      <c r="D838" t="s">
        <v>3</v>
      </c>
      <c r="E838" t="s">
        <v>3778</v>
      </c>
      <c r="F838" t="s">
        <v>3779</v>
      </c>
    </row>
    <row r="839" spans="1:6" x14ac:dyDescent="0.25">
      <c r="A839" t="s">
        <v>1678</v>
      </c>
      <c r="B839" t="str">
        <f>"87032190      "</f>
        <v xml:space="preserve">87032190      </v>
      </c>
      <c r="C839" t="s">
        <v>1327</v>
      </c>
      <c r="D839" t="s">
        <v>1327</v>
      </c>
      <c r="E839" t="s">
        <v>3780</v>
      </c>
      <c r="F839" t="s">
        <v>3781</v>
      </c>
    </row>
    <row r="840" spans="1:6" x14ac:dyDescent="0.25">
      <c r="A840" t="s">
        <v>1678</v>
      </c>
      <c r="B840" t="str">
        <f>"87032210      "</f>
        <v xml:space="preserve">87032210      </v>
      </c>
      <c r="C840" t="s">
        <v>3</v>
      </c>
      <c r="D840" t="s">
        <v>3</v>
      </c>
      <c r="E840" t="s">
        <v>3782</v>
      </c>
      <c r="F840" t="s">
        <v>3783</v>
      </c>
    </row>
    <row r="841" spans="1:6" x14ac:dyDescent="0.25">
      <c r="A841" t="s">
        <v>1678</v>
      </c>
      <c r="B841" t="str">
        <f>"87032290      "</f>
        <v xml:space="preserve">87032290      </v>
      </c>
      <c r="C841" t="s">
        <v>1327</v>
      </c>
      <c r="D841" t="s">
        <v>1327</v>
      </c>
      <c r="E841" t="s">
        <v>3784</v>
      </c>
      <c r="F841" t="s">
        <v>3785</v>
      </c>
    </row>
    <row r="842" spans="1:6" x14ac:dyDescent="0.25">
      <c r="A842" t="s">
        <v>1678</v>
      </c>
      <c r="B842" t="str">
        <f>"87032311      "</f>
        <v xml:space="preserve">87032311      </v>
      </c>
      <c r="C842" t="s">
        <v>3786</v>
      </c>
      <c r="D842" t="s">
        <v>3786</v>
      </c>
      <c r="E842" t="s">
        <v>3787</v>
      </c>
      <c r="F842" t="s">
        <v>3788</v>
      </c>
    </row>
    <row r="843" spans="1:6" x14ac:dyDescent="0.25">
      <c r="A843" t="s">
        <v>1678</v>
      </c>
      <c r="B843" t="str">
        <f>"87032319      "</f>
        <v xml:space="preserve">87032319      </v>
      </c>
      <c r="C843" t="s">
        <v>16</v>
      </c>
      <c r="D843" t="s">
        <v>16</v>
      </c>
      <c r="E843" t="s">
        <v>3789</v>
      </c>
      <c r="F843" t="s">
        <v>3790</v>
      </c>
    </row>
    <row r="844" spans="1:6" x14ac:dyDescent="0.25">
      <c r="A844" t="s">
        <v>1678</v>
      </c>
      <c r="B844" t="str">
        <f>"87032390      "</f>
        <v xml:space="preserve">87032390      </v>
      </c>
      <c r="C844" t="s">
        <v>1327</v>
      </c>
      <c r="D844" t="s">
        <v>1327</v>
      </c>
      <c r="E844" t="s">
        <v>3791</v>
      </c>
      <c r="F844" t="s">
        <v>3792</v>
      </c>
    </row>
    <row r="845" spans="1:6" x14ac:dyDescent="0.25">
      <c r="A845" t="s">
        <v>1678</v>
      </c>
      <c r="B845" t="str">
        <f>"87032410      "</f>
        <v xml:space="preserve">87032410      </v>
      </c>
      <c r="C845" t="s">
        <v>3</v>
      </c>
      <c r="D845" t="s">
        <v>3</v>
      </c>
      <c r="E845" t="s">
        <v>3793</v>
      </c>
      <c r="F845" t="s">
        <v>3794</v>
      </c>
    </row>
    <row r="846" spans="1:6" x14ac:dyDescent="0.25">
      <c r="A846" t="s">
        <v>1678</v>
      </c>
      <c r="B846" t="str">
        <f>"87032490      "</f>
        <v xml:space="preserve">87032490      </v>
      </c>
      <c r="C846" t="s">
        <v>1327</v>
      </c>
      <c r="D846" t="s">
        <v>1327</v>
      </c>
      <c r="E846" t="s">
        <v>3795</v>
      </c>
      <c r="F846" t="s">
        <v>3796</v>
      </c>
    </row>
    <row r="847" spans="1:6" x14ac:dyDescent="0.25">
      <c r="A847" t="s">
        <v>1678</v>
      </c>
      <c r="B847" t="str">
        <f>"87034010      "</f>
        <v xml:space="preserve">87034010      </v>
      </c>
      <c r="C847" t="s">
        <v>3</v>
      </c>
      <c r="D847" t="s">
        <v>3</v>
      </c>
      <c r="E847" t="s">
        <v>3797</v>
      </c>
      <c r="F847" t="s">
        <v>3798</v>
      </c>
    </row>
    <row r="848" spans="1:6" x14ac:dyDescent="0.25">
      <c r="A848" t="s">
        <v>1678</v>
      </c>
      <c r="B848" t="str">
        <f>"87034090      "</f>
        <v xml:space="preserve">87034090      </v>
      </c>
      <c r="C848" t="s">
        <v>1327</v>
      </c>
      <c r="D848" t="s">
        <v>1327</v>
      </c>
      <c r="E848" t="s">
        <v>3799</v>
      </c>
      <c r="F848" t="s">
        <v>3800</v>
      </c>
    </row>
    <row r="849" spans="1:6" x14ac:dyDescent="0.25">
      <c r="A849" t="s">
        <v>1678</v>
      </c>
      <c r="B849" t="str">
        <f>"87036010      "</f>
        <v xml:space="preserve">87036010      </v>
      </c>
      <c r="C849" t="s">
        <v>3</v>
      </c>
      <c r="D849" t="s">
        <v>3</v>
      </c>
      <c r="E849" t="s">
        <v>3801</v>
      </c>
      <c r="F849" t="s">
        <v>3802</v>
      </c>
    </row>
    <row r="850" spans="1:6" x14ac:dyDescent="0.25">
      <c r="A850" t="s">
        <v>1678</v>
      </c>
      <c r="B850" t="str">
        <f>"87036090      "</f>
        <v xml:space="preserve">87036090      </v>
      </c>
      <c r="C850" t="s">
        <v>1327</v>
      </c>
      <c r="D850" t="s">
        <v>1327</v>
      </c>
      <c r="E850" t="s">
        <v>3803</v>
      </c>
      <c r="F850" t="s">
        <v>3804</v>
      </c>
    </row>
    <row r="851" spans="1:6" x14ac:dyDescent="0.25">
      <c r="A851" t="s">
        <v>1678</v>
      </c>
      <c r="B851" t="str">
        <f>"87042110      "</f>
        <v xml:space="preserve">87042110      </v>
      </c>
      <c r="C851" t="s">
        <v>1337</v>
      </c>
      <c r="D851" t="s">
        <v>1337</v>
      </c>
      <c r="E851" t="s">
        <v>3805</v>
      </c>
      <c r="F851" t="s">
        <v>3806</v>
      </c>
    </row>
    <row r="852" spans="1:6" x14ac:dyDescent="0.25">
      <c r="A852" t="s">
        <v>1678</v>
      </c>
      <c r="B852" t="str">
        <f>"87042131      "</f>
        <v xml:space="preserve">87042131      </v>
      </c>
      <c r="C852" t="s">
        <v>3</v>
      </c>
      <c r="D852" t="s">
        <v>3</v>
      </c>
      <c r="E852" t="s">
        <v>3807</v>
      </c>
      <c r="F852" t="s">
        <v>3808</v>
      </c>
    </row>
    <row r="853" spans="1:6" x14ac:dyDescent="0.25">
      <c r="A853" t="s">
        <v>1678</v>
      </c>
      <c r="B853" t="str">
        <f>"87042139      "</f>
        <v xml:space="preserve">87042139      </v>
      </c>
      <c r="C853" t="s">
        <v>1327</v>
      </c>
      <c r="D853" t="s">
        <v>1327</v>
      </c>
      <c r="E853" t="s">
        <v>3809</v>
      </c>
      <c r="F853" t="s">
        <v>3810</v>
      </c>
    </row>
    <row r="854" spans="1:6" x14ac:dyDescent="0.25">
      <c r="A854" t="s">
        <v>1678</v>
      </c>
      <c r="B854" t="str">
        <f>"87042191      "</f>
        <v xml:space="preserve">87042191      </v>
      </c>
      <c r="C854" t="s">
        <v>3</v>
      </c>
      <c r="D854" t="s">
        <v>3</v>
      </c>
      <c r="E854" t="s">
        <v>3811</v>
      </c>
      <c r="F854" t="s">
        <v>3812</v>
      </c>
    </row>
    <row r="855" spans="1:6" x14ac:dyDescent="0.25">
      <c r="A855" t="s">
        <v>1678</v>
      </c>
      <c r="B855" t="str">
        <f>"87042199      "</f>
        <v xml:space="preserve">87042199      </v>
      </c>
      <c r="C855" t="s">
        <v>1327</v>
      </c>
      <c r="D855" t="s">
        <v>1327</v>
      </c>
      <c r="E855" t="s">
        <v>3813</v>
      </c>
      <c r="F855" t="s">
        <v>3814</v>
      </c>
    </row>
    <row r="856" spans="1:6" x14ac:dyDescent="0.25">
      <c r="A856" t="s">
        <v>1678</v>
      </c>
      <c r="B856" t="str">
        <f>"87042210      "</f>
        <v xml:space="preserve">87042210      </v>
      </c>
      <c r="C856" t="s">
        <v>1337</v>
      </c>
      <c r="D856" t="s">
        <v>1337</v>
      </c>
      <c r="E856" t="s">
        <v>3815</v>
      </c>
      <c r="F856" t="s">
        <v>3816</v>
      </c>
    </row>
    <row r="857" spans="1:6" x14ac:dyDescent="0.25">
      <c r="A857" t="s">
        <v>1678</v>
      </c>
      <c r="B857" t="str">
        <f>"87042291      "</f>
        <v xml:space="preserve">87042291      </v>
      </c>
      <c r="C857" t="s">
        <v>3</v>
      </c>
      <c r="D857" t="s">
        <v>3</v>
      </c>
      <c r="E857" t="s">
        <v>3817</v>
      </c>
      <c r="F857" t="s">
        <v>3818</v>
      </c>
    </row>
    <row r="858" spans="1:6" x14ac:dyDescent="0.25">
      <c r="A858" t="s">
        <v>1678</v>
      </c>
      <c r="B858" t="str">
        <f>"87042299      "</f>
        <v xml:space="preserve">87042299      </v>
      </c>
      <c r="C858" t="s">
        <v>1327</v>
      </c>
      <c r="D858" t="s">
        <v>1327</v>
      </c>
      <c r="E858" t="s">
        <v>3819</v>
      </c>
      <c r="F858" t="s">
        <v>3820</v>
      </c>
    </row>
    <row r="859" spans="1:6" x14ac:dyDescent="0.25">
      <c r="A859" t="s">
        <v>1678</v>
      </c>
      <c r="B859" t="str">
        <f>"87042310      "</f>
        <v xml:space="preserve">87042310      </v>
      </c>
      <c r="C859" t="s">
        <v>1337</v>
      </c>
      <c r="D859" t="s">
        <v>1337</v>
      </c>
      <c r="E859" t="s">
        <v>3821</v>
      </c>
      <c r="F859" t="s">
        <v>3822</v>
      </c>
    </row>
    <row r="860" spans="1:6" x14ac:dyDescent="0.25">
      <c r="A860" t="s">
        <v>1678</v>
      </c>
      <c r="B860" t="str">
        <f>"87042391      "</f>
        <v xml:space="preserve">87042391      </v>
      </c>
      <c r="C860" t="s">
        <v>3</v>
      </c>
      <c r="D860" t="s">
        <v>3</v>
      </c>
      <c r="E860" t="s">
        <v>3823</v>
      </c>
      <c r="F860" t="s">
        <v>3824</v>
      </c>
    </row>
    <row r="861" spans="1:6" x14ac:dyDescent="0.25">
      <c r="A861" t="s">
        <v>1678</v>
      </c>
      <c r="B861" t="str">
        <f>"87042399      "</f>
        <v xml:space="preserve">87042399      </v>
      </c>
      <c r="C861" t="s">
        <v>1327</v>
      </c>
      <c r="D861" t="s">
        <v>1327</v>
      </c>
      <c r="E861" t="s">
        <v>3825</v>
      </c>
      <c r="F861" t="s">
        <v>3826</v>
      </c>
    </row>
    <row r="862" spans="1:6" x14ac:dyDescent="0.25">
      <c r="A862" t="s">
        <v>1678</v>
      </c>
      <c r="B862" t="str">
        <f>"87043110      "</f>
        <v xml:space="preserve">87043110      </v>
      </c>
      <c r="C862" t="s">
        <v>1337</v>
      </c>
      <c r="D862" t="s">
        <v>1337</v>
      </c>
      <c r="E862" t="s">
        <v>3827</v>
      </c>
      <c r="F862" t="s">
        <v>3828</v>
      </c>
    </row>
    <row r="863" spans="1:6" x14ac:dyDescent="0.25">
      <c r="A863" t="s">
        <v>1678</v>
      </c>
      <c r="B863" t="str">
        <f>"87043131      "</f>
        <v xml:space="preserve">87043131      </v>
      </c>
      <c r="C863" t="s">
        <v>3</v>
      </c>
      <c r="D863" t="s">
        <v>3</v>
      </c>
      <c r="E863" t="s">
        <v>3829</v>
      </c>
      <c r="F863" t="s">
        <v>3830</v>
      </c>
    </row>
    <row r="864" spans="1:6" x14ac:dyDescent="0.25">
      <c r="A864" t="s">
        <v>1678</v>
      </c>
      <c r="B864" t="str">
        <f>"87043139      "</f>
        <v xml:space="preserve">87043139      </v>
      </c>
      <c r="C864" t="s">
        <v>1327</v>
      </c>
      <c r="D864" t="s">
        <v>1327</v>
      </c>
      <c r="E864" t="s">
        <v>3831</v>
      </c>
      <c r="F864" t="s">
        <v>3832</v>
      </c>
    </row>
    <row r="865" spans="1:6" x14ac:dyDescent="0.25">
      <c r="A865" t="s">
        <v>1678</v>
      </c>
      <c r="B865" t="str">
        <f>"87043191      "</f>
        <v xml:space="preserve">87043191      </v>
      </c>
      <c r="C865" t="s">
        <v>3</v>
      </c>
      <c r="D865" t="s">
        <v>3</v>
      </c>
      <c r="E865" t="s">
        <v>3833</v>
      </c>
      <c r="F865" t="s">
        <v>3834</v>
      </c>
    </row>
    <row r="866" spans="1:6" x14ac:dyDescent="0.25">
      <c r="A866" t="s">
        <v>1678</v>
      </c>
      <c r="B866" t="str">
        <f>"87043199      "</f>
        <v xml:space="preserve">87043199      </v>
      </c>
      <c r="C866" t="s">
        <v>1327</v>
      </c>
      <c r="D866" t="s">
        <v>1327</v>
      </c>
      <c r="E866" t="s">
        <v>3835</v>
      </c>
      <c r="F866" t="s">
        <v>3836</v>
      </c>
    </row>
    <row r="867" spans="1:6" x14ac:dyDescent="0.25">
      <c r="A867" t="s">
        <v>1678</v>
      </c>
      <c r="B867" t="str">
        <f>"87043210      "</f>
        <v xml:space="preserve">87043210      </v>
      </c>
      <c r="C867" t="s">
        <v>1337</v>
      </c>
      <c r="D867" t="s">
        <v>1337</v>
      </c>
      <c r="E867" t="s">
        <v>3837</v>
      </c>
      <c r="F867" t="s">
        <v>3838</v>
      </c>
    </row>
    <row r="868" spans="1:6" x14ac:dyDescent="0.25">
      <c r="A868" t="s">
        <v>1678</v>
      </c>
      <c r="B868" t="str">
        <f>"87043291      "</f>
        <v xml:space="preserve">87043291      </v>
      </c>
      <c r="C868" t="s">
        <v>3</v>
      </c>
      <c r="D868" t="s">
        <v>3</v>
      </c>
      <c r="E868" t="s">
        <v>3839</v>
      </c>
      <c r="F868" t="s">
        <v>3840</v>
      </c>
    </row>
    <row r="869" spans="1:6" x14ac:dyDescent="0.25">
      <c r="A869" t="s">
        <v>1678</v>
      </c>
      <c r="B869" t="str">
        <f>"87043299      "</f>
        <v xml:space="preserve">87043299      </v>
      </c>
      <c r="C869" t="s">
        <v>1327</v>
      </c>
      <c r="D869" t="s">
        <v>1327</v>
      </c>
      <c r="E869" t="s">
        <v>3841</v>
      </c>
      <c r="F869" t="s">
        <v>3842</v>
      </c>
    </row>
    <row r="870" spans="1:6" x14ac:dyDescent="0.25">
      <c r="A870" t="s">
        <v>1678</v>
      </c>
      <c r="B870" t="str">
        <f>"87111000      "</f>
        <v xml:space="preserve">87111000      </v>
      </c>
      <c r="C870" t="s">
        <v>3843</v>
      </c>
      <c r="D870" t="s">
        <v>3844</v>
      </c>
      <c r="E870" t="s">
        <v>3845</v>
      </c>
      <c r="F870" t="s">
        <v>3846</v>
      </c>
    </row>
    <row r="871" spans="1:6" x14ac:dyDescent="0.25">
      <c r="A871" t="s">
        <v>1678</v>
      </c>
      <c r="B871" t="str">
        <f>"87112010      "</f>
        <v xml:space="preserve">87112010      </v>
      </c>
      <c r="C871" t="s">
        <v>3847</v>
      </c>
      <c r="D871" t="s">
        <v>3847</v>
      </c>
      <c r="E871" t="s">
        <v>3848</v>
      </c>
      <c r="F871" t="s">
        <v>3849</v>
      </c>
    </row>
    <row r="872" spans="1:6" x14ac:dyDescent="0.25">
      <c r="A872" t="s">
        <v>1678</v>
      </c>
      <c r="B872" t="str">
        <f>"87112092      "</f>
        <v xml:space="preserve">87112092      </v>
      </c>
      <c r="C872" t="s">
        <v>3850</v>
      </c>
      <c r="D872" t="s">
        <v>3850</v>
      </c>
      <c r="E872" t="s">
        <v>3851</v>
      </c>
      <c r="F872" t="s">
        <v>3852</v>
      </c>
    </row>
    <row r="873" spans="1:6" x14ac:dyDescent="0.25">
      <c r="A873" t="s">
        <v>1678</v>
      </c>
      <c r="B873" t="str">
        <f>"87112098      "</f>
        <v xml:space="preserve">87112098      </v>
      </c>
      <c r="C873" t="s">
        <v>3853</v>
      </c>
      <c r="D873" t="s">
        <v>3853</v>
      </c>
      <c r="E873" t="s">
        <v>3854</v>
      </c>
      <c r="F873" t="s">
        <v>3855</v>
      </c>
    </row>
    <row r="874" spans="1:6" x14ac:dyDescent="0.25">
      <c r="A874" t="s">
        <v>1678</v>
      </c>
      <c r="B874" t="str">
        <f>"87113010      "</f>
        <v xml:space="preserve">87113010      </v>
      </c>
      <c r="C874" t="s">
        <v>3856</v>
      </c>
      <c r="D874" t="s">
        <v>3856</v>
      </c>
      <c r="E874" t="s">
        <v>3857</v>
      </c>
      <c r="F874" t="s">
        <v>3858</v>
      </c>
    </row>
    <row r="875" spans="1:6" x14ac:dyDescent="0.25">
      <c r="A875" t="s">
        <v>1678</v>
      </c>
      <c r="B875" t="str">
        <f>"87113090      "</f>
        <v xml:space="preserve">87113090      </v>
      </c>
      <c r="C875" t="s">
        <v>3859</v>
      </c>
      <c r="D875" t="s">
        <v>3859</v>
      </c>
      <c r="E875" t="s">
        <v>3860</v>
      </c>
      <c r="F875" t="s">
        <v>3861</v>
      </c>
    </row>
    <row r="876" spans="1:6" x14ac:dyDescent="0.25">
      <c r="A876" t="s">
        <v>1678</v>
      </c>
      <c r="B876" t="str">
        <f>"87114000      "</f>
        <v xml:space="preserve">87114000      </v>
      </c>
      <c r="C876" t="s">
        <v>3862</v>
      </c>
      <c r="D876" t="s">
        <v>3863</v>
      </c>
      <c r="E876" t="s">
        <v>3864</v>
      </c>
      <c r="F876" t="s">
        <v>3865</v>
      </c>
    </row>
    <row r="877" spans="1:6" x14ac:dyDescent="0.25">
      <c r="A877" t="s">
        <v>1678</v>
      </c>
      <c r="B877" t="str">
        <f>"87115000      "</f>
        <v xml:space="preserve">87115000      </v>
      </c>
      <c r="C877" t="s">
        <v>3866</v>
      </c>
      <c r="D877" t="s">
        <v>3867</v>
      </c>
      <c r="E877" t="s">
        <v>3868</v>
      </c>
      <c r="F877" t="s">
        <v>3869</v>
      </c>
    </row>
    <row r="878" spans="1:6" x14ac:dyDescent="0.25">
      <c r="A878" t="s">
        <v>1678</v>
      </c>
      <c r="B878" t="str">
        <f>"88021100      "</f>
        <v xml:space="preserve">88021100      </v>
      </c>
      <c r="C878" t="s">
        <v>1387</v>
      </c>
      <c r="D878" t="s">
        <v>1387</v>
      </c>
      <c r="E878" t="s">
        <v>3870</v>
      </c>
      <c r="F878" t="s">
        <v>3871</v>
      </c>
    </row>
    <row r="879" spans="1:6" x14ac:dyDescent="0.25">
      <c r="A879" t="s">
        <v>1678</v>
      </c>
      <c r="B879" t="str">
        <f>"88021200      "</f>
        <v xml:space="preserve">88021200      </v>
      </c>
      <c r="C879" t="s">
        <v>1390</v>
      </c>
      <c r="D879" t="s">
        <v>1390</v>
      </c>
      <c r="E879" t="s">
        <v>3872</v>
      </c>
      <c r="F879" t="s">
        <v>3873</v>
      </c>
    </row>
    <row r="880" spans="1:6" x14ac:dyDescent="0.25">
      <c r="A880" t="s">
        <v>1678</v>
      </c>
      <c r="B880" t="str">
        <f>"88022000      "</f>
        <v xml:space="preserve">88022000      </v>
      </c>
      <c r="C880" t="s">
        <v>3874</v>
      </c>
      <c r="D880" t="s">
        <v>3874</v>
      </c>
      <c r="E880" t="s">
        <v>3875</v>
      </c>
      <c r="F880" t="s">
        <v>3876</v>
      </c>
    </row>
    <row r="881" spans="1:6" x14ac:dyDescent="0.25">
      <c r="A881" t="s">
        <v>1678</v>
      </c>
      <c r="B881" t="str">
        <f>"88023000      "</f>
        <v xml:space="preserve">88023000      </v>
      </c>
      <c r="C881" t="s">
        <v>3877</v>
      </c>
      <c r="D881" t="s">
        <v>3877</v>
      </c>
      <c r="E881" t="s">
        <v>3878</v>
      </c>
      <c r="F881" t="s">
        <v>3879</v>
      </c>
    </row>
    <row r="882" spans="1:6" x14ac:dyDescent="0.25">
      <c r="A882" t="s">
        <v>1678</v>
      </c>
      <c r="B882" t="str">
        <f>"88024000      "</f>
        <v xml:space="preserve">88024000      </v>
      </c>
      <c r="C882" t="s">
        <v>3880</v>
      </c>
      <c r="D882" t="s">
        <v>3880</v>
      </c>
      <c r="E882" t="s">
        <v>3881</v>
      </c>
      <c r="F882" t="s">
        <v>3882</v>
      </c>
    </row>
    <row r="883" spans="1:6" x14ac:dyDescent="0.25">
      <c r="A883" t="s">
        <v>1678</v>
      </c>
      <c r="B883" t="str">
        <f>"88026011      "</f>
        <v xml:space="preserve">88026011      </v>
      </c>
      <c r="C883" t="s">
        <v>3883</v>
      </c>
      <c r="D883" t="s">
        <v>3883</v>
      </c>
      <c r="E883" t="s">
        <v>3884</v>
      </c>
      <c r="F883" t="s">
        <v>3885</v>
      </c>
    </row>
    <row r="884" spans="1:6" x14ac:dyDescent="0.25">
      <c r="A884" t="s">
        <v>1678</v>
      </c>
      <c r="B884" t="str">
        <f>"88026019      "</f>
        <v xml:space="preserve">88026019      </v>
      </c>
      <c r="C884" t="s">
        <v>16</v>
      </c>
      <c r="D884" t="s">
        <v>16</v>
      </c>
      <c r="E884" t="s">
        <v>3886</v>
      </c>
      <c r="F884" t="s">
        <v>3887</v>
      </c>
    </row>
    <row r="885" spans="1:6" x14ac:dyDescent="0.25">
      <c r="A885" t="s">
        <v>1678</v>
      </c>
      <c r="B885" t="str">
        <f>"88026090      "</f>
        <v xml:space="preserve">88026090      </v>
      </c>
      <c r="C885" t="s">
        <v>3888</v>
      </c>
      <c r="D885" t="s">
        <v>3888</v>
      </c>
      <c r="E885" t="s">
        <v>3889</v>
      </c>
      <c r="F885" t="s">
        <v>3890</v>
      </c>
    </row>
    <row r="886" spans="1:6" x14ac:dyDescent="0.25">
      <c r="A886" t="s">
        <v>1678</v>
      </c>
      <c r="B886" t="str">
        <f>"89039999      "</f>
        <v xml:space="preserve">89039999      </v>
      </c>
      <c r="C886" t="s">
        <v>16</v>
      </c>
      <c r="D886" t="s">
        <v>3891</v>
      </c>
      <c r="E886" t="s">
        <v>3892</v>
      </c>
      <c r="F886" t="s">
        <v>3893</v>
      </c>
    </row>
    <row r="887" spans="1:6" x14ac:dyDescent="0.25">
      <c r="A887" t="s">
        <v>1678</v>
      </c>
      <c r="B887" t="str">
        <f>"90065310      "</f>
        <v xml:space="preserve">90065310      </v>
      </c>
      <c r="C887" t="s">
        <v>3894</v>
      </c>
      <c r="D887" t="s">
        <v>3894</v>
      </c>
      <c r="E887" t="s">
        <v>3895</v>
      </c>
      <c r="F887" t="s">
        <v>3896</v>
      </c>
    </row>
    <row r="888" spans="1:6" x14ac:dyDescent="0.25">
      <c r="A888" t="s">
        <v>1678</v>
      </c>
      <c r="B888" t="str">
        <f>"90065380      "</f>
        <v xml:space="preserve">90065380      </v>
      </c>
      <c r="C888" t="s">
        <v>16</v>
      </c>
      <c r="D888" t="s">
        <v>16</v>
      </c>
      <c r="E888" t="s">
        <v>3897</v>
      </c>
      <c r="F888" t="s">
        <v>3898</v>
      </c>
    </row>
    <row r="889" spans="1:6" x14ac:dyDescent="0.25">
      <c r="A889" t="s">
        <v>1678</v>
      </c>
      <c r="B889" t="str">
        <f>"90131010      "</f>
        <v xml:space="preserve">90131010      </v>
      </c>
      <c r="C889" t="s">
        <v>3899</v>
      </c>
      <c r="D889" t="s">
        <v>3900</v>
      </c>
      <c r="E889" t="s">
        <v>3901</v>
      </c>
      <c r="F889" t="s">
        <v>3902</v>
      </c>
    </row>
    <row r="890" spans="1:6" x14ac:dyDescent="0.25">
      <c r="A890" t="s">
        <v>1678</v>
      </c>
      <c r="B890" t="str">
        <f>"90131090      "</f>
        <v xml:space="preserve">90131090      </v>
      </c>
      <c r="C890" t="s">
        <v>16</v>
      </c>
      <c r="D890" t="s">
        <v>16</v>
      </c>
      <c r="E890" t="s">
        <v>3903</v>
      </c>
      <c r="F890" t="s">
        <v>3904</v>
      </c>
    </row>
    <row r="891" spans="1:6" x14ac:dyDescent="0.25">
      <c r="A891" t="s">
        <v>1678</v>
      </c>
      <c r="B891" t="str">
        <f>"90132000      "</f>
        <v xml:space="preserve">90132000      </v>
      </c>
      <c r="C891" t="s">
        <v>3905</v>
      </c>
      <c r="D891" t="s">
        <v>3905</v>
      </c>
      <c r="E891" t="s">
        <v>3906</v>
      </c>
      <c r="F891" t="s">
        <v>3907</v>
      </c>
    </row>
    <row r="892" spans="1:6" x14ac:dyDescent="0.25">
      <c r="A892" t="s">
        <v>1678</v>
      </c>
      <c r="B892" t="str">
        <f>"90139005      "</f>
        <v xml:space="preserve">90139005      </v>
      </c>
      <c r="C892" t="s">
        <v>3908</v>
      </c>
      <c r="D892" t="s">
        <v>3908</v>
      </c>
      <c r="E892" t="s">
        <v>3909</v>
      </c>
      <c r="F892" t="s">
        <v>3910</v>
      </c>
    </row>
    <row r="893" spans="1:6" x14ac:dyDescent="0.25">
      <c r="A893" t="s">
        <v>1678</v>
      </c>
      <c r="B893" t="str">
        <f>"90139080      "</f>
        <v xml:space="preserve">90139080      </v>
      </c>
      <c r="C893" t="s">
        <v>16</v>
      </c>
      <c r="D893" t="s">
        <v>16</v>
      </c>
      <c r="E893" t="s">
        <v>3911</v>
      </c>
      <c r="F893" t="s">
        <v>3912</v>
      </c>
    </row>
    <row r="894" spans="1:6" x14ac:dyDescent="0.25">
      <c r="A894" t="s">
        <v>1678</v>
      </c>
      <c r="B894" t="str">
        <f>"90221200      "</f>
        <v xml:space="preserve">90221200      </v>
      </c>
      <c r="C894" t="s">
        <v>3913</v>
      </c>
      <c r="D894" t="s">
        <v>3913</v>
      </c>
      <c r="E894" t="s">
        <v>3914</v>
      </c>
      <c r="F894" t="s">
        <v>3915</v>
      </c>
    </row>
    <row r="895" spans="1:6" x14ac:dyDescent="0.25">
      <c r="A895" t="s">
        <v>1678</v>
      </c>
      <c r="B895" t="str">
        <f>"90221300      "</f>
        <v xml:space="preserve">90221300      </v>
      </c>
      <c r="C895" t="s">
        <v>3916</v>
      </c>
      <c r="D895" t="s">
        <v>3916</v>
      </c>
      <c r="E895" t="s">
        <v>3917</v>
      </c>
      <c r="F895" t="s">
        <v>3918</v>
      </c>
    </row>
    <row r="896" spans="1:6" x14ac:dyDescent="0.25">
      <c r="A896" t="s">
        <v>1678</v>
      </c>
      <c r="B896" t="str">
        <f>"90221400      "</f>
        <v xml:space="preserve">90221400      </v>
      </c>
      <c r="C896" t="s">
        <v>3919</v>
      </c>
      <c r="D896" t="s">
        <v>3919</v>
      </c>
      <c r="E896" t="s">
        <v>3920</v>
      </c>
      <c r="F896" t="s">
        <v>3921</v>
      </c>
    </row>
    <row r="897" spans="1:6" x14ac:dyDescent="0.25">
      <c r="A897" t="s">
        <v>1678</v>
      </c>
      <c r="B897" t="str">
        <f>"90221900      "</f>
        <v xml:space="preserve">90221900      </v>
      </c>
      <c r="C897" t="s">
        <v>3922</v>
      </c>
      <c r="D897" t="s">
        <v>3922</v>
      </c>
      <c r="E897" t="s">
        <v>3923</v>
      </c>
      <c r="F897" t="s">
        <v>3924</v>
      </c>
    </row>
    <row r="898" spans="1:6" x14ac:dyDescent="0.25">
      <c r="A898" t="s">
        <v>1678</v>
      </c>
      <c r="B898" t="str">
        <f>"90222100      "</f>
        <v xml:space="preserve">90222100      </v>
      </c>
      <c r="C898" t="s">
        <v>3925</v>
      </c>
      <c r="D898" t="s">
        <v>3925</v>
      </c>
      <c r="E898" t="s">
        <v>3926</v>
      </c>
      <c r="F898" t="s">
        <v>3927</v>
      </c>
    </row>
    <row r="899" spans="1:6" x14ac:dyDescent="0.25">
      <c r="A899" t="s">
        <v>1678</v>
      </c>
      <c r="B899" t="str">
        <f>"90222900      "</f>
        <v xml:space="preserve">90222900      </v>
      </c>
      <c r="C899" t="s">
        <v>3922</v>
      </c>
      <c r="D899" t="s">
        <v>3922</v>
      </c>
      <c r="E899" t="s">
        <v>3928</v>
      </c>
      <c r="F899" t="s">
        <v>3929</v>
      </c>
    </row>
    <row r="900" spans="1:6" x14ac:dyDescent="0.25">
      <c r="A900" t="s">
        <v>1678</v>
      </c>
      <c r="B900" t="str">
        <f>"90223000      "</f>
        <v xml:space="preserve">90223000      </v>
      </c>
      <c r="C900" t="s">
        <v>3930</v>
      </c>
      <c r="D900" t="s">
        <v>3930</v>
      </c>
      <c r="E900" t="s">
        <v>3931</v>
      </c>
      <c r="F900" t="s">
        <v>3932</v>
      </c>
    </row>
    <row r="901" spans="1:6" x14ac:dyDescent="0.25">
      <c r="A901" t="s">
        <v>1678</v>
      </c>
      <c r="B901" t="str">
        <f>"90229020      "</f>
        <v xml:space="preserve">90229020      </v>
      </c>
      <c r="C901" t="s">
        <v>3933</v>
      </c>
      <c r="D901" t="s">
        <v>3933</v>
      </c>
      <c r="E901" t="s">
        <v>3934</v>
      </c>
      <c r="F901" t="s">
        <v>3935</v>
      </c>
    </row>
    <row r="902" spans="1:6" x14ac:dyDescent="0.25">
      <c r="A902" t="s">
        <v>1678</v>
      </c>
      <c r="B902" t="str">
        <f>"90229080      "</f>
        <v xml:space="preserve">90229080      </v>
      </c>
      <c r="C902" t="s">
        <v>16</v>
      </c>
      <c r="D902" t="s">
        <v>16</v>
      </c>
      <c r="E902" t="s">
        <v>3936</v>
      </c>
      <c r="F902" t="s">
        <v>3937</v>
      </c>
    </row>
    <row r="903" spans="1:6" x14ac:dyDescent="0.25">
      <c r="A903" t="s">
        <v>1678</v>
      </c>
      <c r="B903" t="str">
        <f>"90303100      "</f>
        <v xml:space="preserve">90303100      </v>
      </c>
      <c r="C903" t="s">
        <v>3938</v>
      </c>
      <c r="D903" t="s">
        <v>3938</v>
      </c>
      <c r="E903" t="s">
        <v>3939</v>
      </c>
      <c r="F903" t="s">
        <v>3940</v>
      </c>
    </row>
    <row r="904" spans="1:6" x14ac:dyDescent="0.25">
      <c r="A904" t="s">
        <v>1678</v>
      </c>
      <c r="B904" t="str">
        <f>"90303200      "</f>
        <v xml:space="preserve">90303200      </v>
      </c>
      <c r="C904" t="s">
        <v>3941</v>
      </c>
      <c r="D904" t="s">
        <v>3941</v>
      </c>
      <c r="E904" t="s">
        <v>3942</v>
      </c>
      <c r="F904" t="s">
        <v>3943</v>
      </c>
    </row>
    <row r="905" spans="1:6" x14ac:dyDescent="0.25">
      <c r="A905" t="s">
        <v>1678</v>
      </c>
      <c r="B905" t="str">
        <f>"90303320      "</f>
        <v xml:space="preserve">90303320      </v>
      </c>
      <c r="C905" t="s">
        <v>3944</v>
      </c>
      <c r="D905" t="s">
        <v>3944</v>
      </c>
      <c r="E905" t="s">
        <v>3945</v>
      </c>
      <c r="F905" t="s">
        <v>3946</v>
      </c>
    </row>
    <row r="906" spans="1:6" x14ac:dyDescent="0.25">
      <c r="A906" t="s">
        <v>1678</v>
      </c>
      <c r="B906" t="str">
        <f>"90303370      "</f>
        <v xml:space="preserve">90303370      </v>
      </c>
      <c r="C906" t="s">
        <v>16</v>
      </c>
      <c r="D906" t="s">
        <v>16</v>
      </c>
      <c r="E906" t="s">
        <v>3947</v>
      </c>
      <c r="F906" t="s">
        <v>3948</v>
      </c>
    </row>
    <row r="907" spans="1:6" x14ac:dyDescent="0.25">
      <c r="A907" t="s">
        <v>1678</v>
      </c>
      <c r="B907" t="str">
        <f>"90303900      "</f>
        <v xml:space="preserve">90303900      </v>
      </c>
      <c r="C907" t="s">
        <v>3949</v>
      </c>
      <c r="D907" t="s">
        <v>3949</v>
      </c>
      <c r="E907" t="s">
        <v>3950</v>
      </c>
      <c r="F907" t="s">
        <v>3951</v>
      </c>
    </row>
    <row r="908" spans="1:6" x14ac:dyDescent="0.25">
      <c r="A908" t="s">
        <v>1678</v>
      </c>
      <c r="B908" t="str">
        <f>"90308200      "</f>
        <v xml:space="preserve">90308200      </v>
      </c>
      <c r="C908" t="s">
        <v>3952</v>
      </c>
      <c r="D908" t="s">
        <v>3953</v>
      </c>
      <c r="E908" t="s">
        <v>3954</v>
      </c>
      <c r="F908" t="s">
        <v>3955</v>
      </c>
    </row>
    <row r="909" spans="1:6" x14ac:dyDescent="0.25">
      <c r="A909" t="s">
        <v>1678</v>
      </c>
      <c r="B909" t="str">
        <f>"90314100      "</f>
        <v xml:space="preserve">90314100      </v>
      </c>
      <c r="C909" t="s">
        <v>3956</v>
      </c>
      <c r="D909" t="s">
        <v>3957</v>
      </c>
      <c r="E909" t="s">
        <v>3958</v>
      </c>
      <c r="F909" t="s">
        <v>3959</v>
      </c>
    </row>
    <row r="910" spans="1:6" x14ac:dyDescent="0.25">
      <c r="A910" t="s">
        <v>1678</v>
      </c>
      <c r="B910" t="str">
        <f>"94011000      "</f>
        <v xml:space="preserve">94011000      </v>
      </c>
      <c r="C910" t="s">
        <v>3960</v>
      </c>
      <c r="D910" t="s">
        <v>3960</v>
      </c>
      <c r="E910" t="s">
        <v>3961</v>
      </c>
      <c r="F910" t="s">
        <v>3962</v>
      </c>
    </row>
    <row r="911" spans="1:6" x14ac:dyDescent="0.25">
      <c r="A911" t="s">
        <v>1678</v>
      </c>
      <c r="B911" t="str">
        <f>"94012000      "</f>
        <v xml:space="preserve">94012000      </v>
      </c>
      <c r="C911" t="s">
        <v>3963</v>
      </c>
      <c r="D911" t="s">
        <v>3963</v>
      </c>
      <c r="E911" t="s">
        <v>3964</v>
      </c>
      <c r="F911" t="s">
        <v>3965</v>
      </c>
    </row>
    <row r="912" spans="1:6" x14ac:dyDescent="0.25">
      <c r="A912" t="s">
        <v>1678</v>
      </c>
      <c r="B912" t="str">
        <f>"94015200      "</f>
        <v xml:space="preserve">94015200      </v>
      </c>
      <c r="C912" t="s">
        <v>3966</v>
      </c>
      <c r="D912" t="s">
        <v>3966</v>
      </c>
      <c r="E912" t="s">
        <v>3967</v>
      </c>
      <c r="F912" t="s">
        <v>3968</v>
      </c>
    </row>
    <row r="913" spans="1:6" x14ac:dyDescent="0.25">
      <c r="A913" t="s">
        <v>1678</v>
      </c>
      <c r="B913" t="str">
        <f>"94015300      "</f>
        <v xml:space="preserve">94015300      </v>
      </c>
      <c r="C913" t="s">
        <v>3969</v>
      </c>
      <c r="D913" t="s">
        <v>3969</v>
      </c>
      <c r="E913" t="s">
        <v>3970</v>
      </c>
      <c r="F913" t="s">
        <v>3971</v>
      </c>
    </row>
    <row r="914" spans="1:6" x14ac:dyDescent="0.25">
      <c r="A914" t="s">
        <v>1678</v>
      </c>
      <c r="B914" t="str">
        <f>"94015900      "</f>
        <v xml:space="preserve">94015900      </v>
      </c>
      <c r="C914" t="s">
        <v>16</v>
      </c>
      <c r="D914" t="s">
        <v>16</v>
      </c>
      <c r="E914" t="s">
        <v>3972</v>
      </c>
      <c r="F914" t="s">
        <v>3973</v>
      </c>
    </row>
    <row r="915" spans="1:6" x14ac:dyDescent="0.25">
      <c r="A915" t="s">
        <v>1678</v>
      </c>
      <c r="B915" t="str">
        <f>"94016100      "</f>
        <v xml:space="preserve">94016100      </v>
      </c>
      <c r="C915" t="s">
        <v>3974</v>
      </c>
      <c r="D915" t="s">
        <v>3974</v>
      </c>
      <c r="E915" t="s">
        <v>3975</v>
      </c>
      <c r="F915" t="s">
        <v>3976</v>
      </c>
    </row>
    <row r="916" spans="1:6" x14ac:dyDescent="0.25">
      <c r="A916" t="s">
        <v>1678</v>
      </c>
      <c r="B916" t="str">
        <f>"94016900      "</f>
        <v xml:space="preserve">94016900      </v>
      </c>
      <c r="C916" t="s">
        <v>16</v>
      </c>
      <c r="D916" t="s">
        <v>16</v>
      </c>
      <c r="E916" t="s">
        <v>3977</v>
      </c>
      <c r="F916" t="s">
        <v>3978</v>
      </c>
    </row>
    <row r="917" spans="1:6" x14ac:dyDescent="0.25">
      <c r="A917" t="s">
        <v>1678</v>
      </c>
      <c r="B917" t="str">
        <f>"94017100      "</f>
        <v xml:space="preserve">94017100      </v>
      </c>
      <c r="C917" t="s">
        <v>3974</v>
      </c>
      <c r="D917" t="s">
        <v>3974</v>
      </c>
      <c r="E917" t="s">
        <v>3979</v>
      </c>
      <c r="F917" t="s">
        <v>3980</v>
      </c>
    </row>
    <row r="918" spans="1:6" x14ac:dyDescent="0.25">
      <c r="A918" t="s">
        <v>1678</v>
      </c>
      <c r="B918" t="str">
        <f>"94017900      "</f>
        <v xml:space="preserve">94017900      </v>
      </c>
      <c r="C918" t="s">
        <v>16</v>
      </c>
      <c r="D918" t="s">
        <v>16</v>
      </c>
      <c r="E918" t="s">
        <v>3981</v>
      </c>
      <c r="F918" t="s">
        <v>3982</v>
      </c>
    </row>
    <row r="919" spans="1:6" x14ac:dyDescent="0.25">
      <c r="A919" t="s">
        <v>1678</v>
      </c>
      <c r="B919" t="str">
        <f>"94018000      "</f>
        <v xml:space="preserve">94018000      </v>
      </c>
      <c r="C919" t="s">
        <v>3983</v>
      </c>
      <c r="D919" t="s">
        <v>3983</v>
      </c>
      <c r="E919" t="s">
        <v>3984</v>
      </c>
      <c r="F919" t="s">
        <v>3985</v>
      </c>
    </row>
    <row r="920" spans="1:6" x14ac:dyDescent="0.25">
      <c r="A920" t="s">
        <v>1678</v>
      </c>
      <c r="B920" t="str">
        <f>"94021000      "</f>
        <v xml:space="preserve">94021000      </v>
      </c>
      <c r="C920" t="s">
        <v>3986</v>
      </c>
      <c r="D920" t="s">
        <v>3986</v>
      </c>
      <c r="E920" t="s">
        <v>3987</v>
      </c>
      <c r="F920" t="s">
        <v>3988</v>
      </c>
    </row>
    <row r="921" spans="1:6" x14ac:dyDescent="0.25">
      <c r="A921" t="s">
        <v>1678</v>
      </c>
      <c r="B921" t="str">
        <f>"94029000      "</f>
        <v xml:space="preserve">94029000      </v>
      </c>
      <c r="C921" t="s">
        <v>16</v>
      </c>
      <c r="D921" t="s">
        <v>16</v>
      </c>
      <c r="E921" t="s">
        <v>3989</v>
      </c>
      <c r="F921" t="s">
        <v>3990</v>
      </c>
    </row>
    <row r="922" spans="1:6" x14ac:dyDescent="0.25">
      <c r="A922" t="s">
        <v>1678</v>
      </c>
      <c r="B922" t="str">
        <f>"94031051      "</f>
        <v xml:space="preserve">94031051      </v>
      </c>
      <c r="C922" t="s">
        <v>3991</v>
      </c>
      <c r="D922" t="s">
        <v>3991</v>
      </c>
      <c r="E922" t="s">
        <v>3992</v>
      </c>
      <c r="F922" t="s">
        <v>3993</v>
      </c>
    </row>
    <row r="923" spans="1:6" x14ac:dyDescent="0.25">
      <c r="A923" t="s">
        <v>1678</v>
      </c>
      <c r="B923" t="str">
        <f>"94031058      "</f>
        <v xml:space="preserve">94031058      </v>
      </c>
      <c r="C923" t="s">
        <v>16</v>
      </c>
      <c r="D923" t="s">
        <v>16</v>
      </c>
      <c r="E923" t="s">
        <v>3994</v>
      </c>
      <c r="F923" t="s">
        <v>3995</v>
      </c>
    </row>
    <row r="924" spans="1:6" x14ac:dyDescent="0.25">
      <c r="A924" t="s">
        <v>1678</v>
      </c>
      <c r="B924" t="str">
        <f>"94031091      "</f>
        <v xml:space="preserve">94031091      </v>
      </c>
      <c r="C924" t="s">
        <v>3996</v>
      </c>
      <c r="D924" t="s">
        <v>3996</v>
      </c>
      <c r="E924" t="s">
        <v>3997</v>
      </c>
      <c r="F924" t="s">
        <v>3998</v>
      </c>
    </row>
    <row r="925" spans="1:6" x14ac:dyDescent="0.25">
      <c r="A925" t="s">
        <v>1678</v>
      </c>
      <c r="B925" t="str">
        <f>"94031093      "</f>
        <v xml:space="preserve">94031093      </v>
      </c>
      <c r="C925" t="s">
        <v>3999</v>
      </c>
      <c r="D925" t="s">
        <v>3999</v>
      </c>
      <c r="E925" t="s">
        <v>4000</v>
      </c>
      <c r="F925" t="s">
        <v>4001</v>
      </c>
    </row>
    <row r="926" spans="1:6" x14ac:dyDescent="0.25">
      <c r="A926" t="s">
        <v>1678</v>
      </c>
      <c r="B926" t="str">
        <f>"94031098      "</f>
        <v xml:space="preserve">94031098      </v>
      </c>
      <c r="C926" t="s">
        <v>16</v>
      </c>
      <c r="D926" t="s">
        <v>16</v>
      </c>
      <c r="E926" t="s">
        <v>4002</v>
      </c>
      <c r="F926" t="s">
        <v>4003</v>
      </c>
    </row>
    <row r="927" spans="1:6" x14ac:dyDescent="0.25">
      <c r="A927" t="s">
        <v>1678</v>
      </c>
      <c r="B927" t="str">
        <f>"94032020      "</f>
        <v xml:space="preserve">94032020      </v>
      </c>
      <c r="C927" t="s">
        <v>4004</v>
      </c>
      <c r="D927" t="s">
        <v>4004</v>
      </c>
      <c r="E927" t="s">
        <v>4005</v>
      </c>
      <c r="F927" t="s">
        <v>4006</v>
      </c>
    </row>
    <row r="928" spans="1:6" x14ac:dyDescent="0.25">
      <c r="A928" t="s">
        <v>1678</v>
      </c>
      <c r="B928" t="str">
        <f>"94032080      "</f>
        <v xml:space="preserve">94032080      </v>
      </c>
      <c r="C928" t="s">
        <v>16</v>
      </c>
      <c r="D928" t="s">
        <v>16</v>
      </c>
      <c r="E928" t="s">
        <v>4007</v>
      </c>
      <c r="F928" t="s">
        <v>4008</v>
      </c>
    </row>
    <row r="929" spans="1:6" x14ac:dyDescent="0.25">
      <c r="A929" t="s">
        <v>1678</v>
      </c>
      <c r="B929" t="str">
        <f>"94033011      "</f>
        <v xml:space="preserve">94033011      </v>
      </c>
      <c r="C929" t="s">
        <v>3991</v>
      </c>
      <c r="D929" t="s">
        <v>3991</v>
      </c>
      <c r="E929" t="s">
        <v>4009</v>
      </c>
      <c r="F929" t="s">
        <v>4010</v>
      </c>
    </row>
    <row r="930" spans="1:6" x14ac:dyDescent="0.25">
      <c r="A930" t="s">
        <v>1678</v>
      </c>
      <c r="B930" t="str">
        <f>"94033019      "</f>
        <v xml:space="preserve">94033019      </v>
      </c>
      <c r="C930" t="s">
        <v>16</v>
      </c>
      <c r="D930" t="s">
        <v>16</v>
      </c>
      <c r="E930" t="s">
        <v>4011</v>
      </c>
      <c r="F930" t="s">
        <v>4012</v>
      </c>
    </row>
    <row r="931" spans="1:6" x14ac:dyDescent="0.25">
      <c r="A931" t="s">
        <v>1678</v>
      </c>
      <c r="B931" t="str">
        <f>"94033091      "</f>
        <v xml:space="preserve">94033091      </v>
      </c>
      <c r="C931" t="s">
        <v>4013</v>
      </c>
      <c r="D931" t="s">
        <v>4013</v>
      </c>
      <c r="E931" t="s">
        <v>4014</v>
      </c>
      <c r="F931" t="s">
        <v>4015</v>
      </c>
    </row>
    <row r="932" spans="1:6" x14ac:dyDescent="0.25">
      <c r="A932" t="s">
        <v>1678</v>
      </c>
      <c r="B932" t="str">
        <f>"94033099      "</f>
        <v xml:space="preserve">94033099      </v>
      </c>
      <c r="C932" t="s">
        <v>16</v>
      </c>
      <c r="D932" t="s">
        <v>16</v>
      </c>
      <c r="E932" t="s">
        <v>4016</v>
      </c>
      <c r="F932" t="s">
        <v>4017</v>
      </c>
    </row>
    <row r="933" spans="1:6" x14ac:dyDescent="0.25">
      <c r="A933" t="s">
        <v>1678</v>
      </c>
      <c r="B933" t="str">
        <f>"94034010      "</f>
        <v xml:space="preserve">94034010      </v>
      </c>
      <c r="C933" t="s">
        <v>4018</v>
      </c>
      <c r="D933" t="s">
        <v>4018</v>
      </c>
      <c r="E933" t="s">
        <v>4019</v>
      </c>
      <c r="F933" t="s">
        <v>4020</v>
      </c>
    </row>
    <row r="934" spans="1:6" x14ac:dyDescent="0.25">
      <c r="A934" t="s">
        <v>1678</v>
      </c>
      <c r="B934" t="str">
        <f>"94034090      "</f>
        <v xml:space="preserve">94034090      </v>
      </c>
      <c r="C934" t="s">
        <v>16</v>
      </c>
      <c r="D934" t="s">
        <v>16</v>
      </c>
      <c r="E934" t="s">
        <v>4021</v>
      </c>
      <c r="F934" t="s">
        <v>4022</v>
      </c>
    </row>
    <row r="935" spans="1:6" x14ac:dyDescent="0.25">
      <c r="A935" t="s">
        <v>1678</v>
      </c>
      <c r="B935" t="str">
        <f>"94035000      "</f>
        <v xml:space="preserve">94035000      </v>
      </c>
      <c r="C935" t="s">
        <v>4023</v>
      </c>
      <c r="D935" t="s">
        <v>4023</v>
      </c>
      <c r="E935" t="s">
        <v>4024</v>
      </c>
      <c r="F935" t="s">
        <v>4025</v>
      </c>
    </row>
    <row r="936" spans="1:6" x14ac:dyDescent="0.25">
      <c r="A936" t="s">
        <v>1678</v>
      </c>
      <c r="B936" t="str">
        <f>"94036010      "</f>
        <v xml:space="preserve">94036010      </v>
      </c>
      <c r="C936" t="s">
        <v>4026</v>
      </c>
      <c r="D936" t="s">
        <v>4026</v>
      </c>
      <c r="E936" t="s">
        <v>4027</v>
      </c>
      <c r="F936" t="s">
        <v>4028</v>
      </c>
    </row>
    <row r="937" spans="1:6" x14ac:dyDescent="0.25">
      <c r="A937" t="s">
        <v>1678</v>
      </c>
      <c r="B937" t="str">
        <f>"94036030      "</f>
        <v xml:space="preserve">94036030      </v>
      </c>
      <c r="C937" t="s">
        <v>4029</v>
      </c>
      <c r="D937" t="s">
        <v>4029</v>
      </c>
      <c r="E937" t="s">
        <v>4030</v>
      </c>
      <c r="F937" t="s">
        <v>4031</v>
      </c>
    </row>
    <row r="938" spans="1:6" x14ac:dyDescent="0.25">
      <c r="A938" t="s">
        <v>1678</v>
      </c>
      <c r="B938" t="str">
        <f>"94036090      "</f>
        <v xml:space="preserve">94036090      </v>
      </c>
      <c r="C938" t="s">
        <v>4032</v>
      </c>
      <c r="D938" t="s">
        <v>4032</v>
      </c>
      <c r="E938" t="s">
        <v>4033</v>
      </c>
      <c r="F938" t="s">
        <v>4034</v>
      </c>
    </row>
    <row r="939" spans="1:6" x14ac:dyDescent="0.25">
      <c r="A939" t="s">
        <v>1678</v>
      </c>
      <c r="B939" t="str">
        <f>"94037000      "</f>
        <v xml:space="preserve">94037000      </v>
      </c>
      <c r="C939" t="s">
        <v>4035</v>
      </c>
      <c r="D939" t="s">
        <v>4035</v>
      </c>
      <c r="E939" t="s">
        <v>4036</v>
      </c>
      <c r="F939" t="s">
        <v>4037</v>
      </c>
    </row>
    <row r="940" spans="1:6" x14ac:dyDescent="0.25">
      <c r="A940" t="s">
        <v>1678</v>
      </c>
      <c r="B940" t="str">
        <f>"94038200      "</f>
        <v xml:space="preserve">94038200      </v>
      </c>
      <c r="C940" t="s">
        <v>3966</v>
      </c>
      <c r="D940" t="s">
        <v>3966</v>
      </c>
      <c r="E940" t="s">
        <v>4038</v>
      </c>
      <c r="F940" t="s">
        <v>4039</v>
      </c>
    </row>
    <row r="941" spans="1:6" x14ac:dyDescent="0.25">
      <c r="A941" t="s">
        <v>1678</v>
      </c>
      <c r="B941" t="str">
        <f>"94038300      "</f>
        <v xml:space="preserve">94038300      </v>
      </c>
      <c r="C941" t="s">
        <v>3969</v>
      </c>
      <c r="D941" t="s">
        <v>3969</v>
      </c>
      <c r="E941" t="s">
        <v>4040</v>
      </c>
      <c r="F941" t="s">
        <v>4041</v>
      </c>
    </row>
    <row r="942" spans="1:6" x14ac:dyDescent="0.25">
      <c r="A942" t="s">
        <v>1678</v>
      </c>
      <c r="B942" t="str">
        <f>"94038900      "</f>
        <v xml:space="preserve">94038900      </v>
      </c>
      <c r="C942" t="s">
        <v>16</v>
      </c>
      <c r="D942" t="s">
        <v>16</v>
      </c>
      <c r="E942" t="s">
        <v>4042</v>
      </c>
      <c r="F942" t="s">
        <v>4043</v>
      </c>
    </row>
    <row r="943" spans="1:6" x14ac:dyDescent="0.25">
      <c r="A943" t="s">
        <v>1678</v>
      </c>
      <c r="B943" t="str">
        <f>"94041000      "</f>
        <v xml:space="preserve">94041000      </v>
      </c>
      <c r="C943" t="s">
        <v>4044</v>
      </c>
      <c r="D943" t="s">
        <v>4044</v>
      </c>
      <c r="E943" t="s">
        <v>4045</v>
      </c>
      <c r="F943" t="s">
        <v>4046</v>
      </c>
    </row>
    <row r="944" spans="1:6" x14ac:dyDescent="0.25">
      <c r="A944" t="s">
        <v>1678</v>
      </c>
      <c r="B944" t="str">
        <f>"94042110      "</f>
        <v xml:space="preserve">94042110      </v>
      </c>
      <c r="C944" t="s">
        <v>4047</v>
      </c>
      <c r="D944" t="s">
        <v>4047</v>
      </c>
      <c r="E944" t="s">
        <v>4048</v>
      </c>
      <c r="F944" t="s">
        <v>4049</v>
      </c>
    </row>
    <row r="945" spans="1:6" x14ac:dyDescent="0.25">
      <c r="A945" t="s">
        <v>1678</v>
      </c>
      <c r="B945" t="str">
        <f>"94042190      "</f>
        <v xml:space="preserve">94042190      </v>
      </c>
      <c r="C945" t="s">
        <v>1590</v>
      </c>
      <c r="D945" t="s">
        <v>1590</v>
      </c>
      <c r="E945" t="s">
        <v>4050</v>
      </c>
      <c r="F945" t="s">
        <v>4051</v>
      </c>
    </row>
    <row r="946" spans="1:6" x14ac:dyDescent="0.25">
      <c r="A946" t="s">
        <v>1678</v>
      </c>
      <c r="B946" t="str">
        <f>"94042910      "</f>
        <v xml:space="preserve">94042910      </v>
      </c>
      <c r="C946" t="s">
        <v>4052</v>
      </c>
      <c r="D946" t="s">
        <v>4052</v>
      </c>
      <c r="E946" t="s">
        <v>4053</v>
      </c>
      <c r="F946" t="s">
        <v>4054</v>
      </c>
    </row>
    <row r="947" spans="1:6" x14ac:dyDescent="0.25">
      <c r="A947" t="s">
        <v>1678</v>
      </c>
      <c r="B947" t="str">
        <f>"94042990      "</f>
        <v xml:space="preserve">94042990      </v>
      </c>
      <c r="C947" t="s">
        <v>16</v>
      </c>
      <c r="D947" t="s">
        <v>16</v>
      </c>
      <c r="E947" t="s">
        <v>4055</v>
      </c>
      <c r="F947" t="s">
        <v>4056</v>
      </c>
    </row>
    <row r="948" spans="1:6" x14ac:dyDescent="0.25">
      <c r="A948" t="s">
        <v>1678</v>
      </c>
      <c r="B948" t="str">
        <f>"94043000      "</f>
        <v xml:space="preserve">94043000      </v>
      </c>
      <c r="C948" t="s">
        <v>4057</v>
      </c>
      <c r="D948" t="s">
        <v>4057</v>
      </c>
      <c r="E948" t="s">
        <v>4058</v>
      </c>
      <c r="F948" t="s">
        <v>4059</v>
      </c>
    </row>
    <row r="949" spans="1:6" x14ac:dyDescent="0.25">
      <c r="A949" t="s">
        <v>1678</v>
      </c>
      <c r="B949" t="str">
        <f>"94049010      "</f>
        <v xml:space="preserve">94049010      </v>
      </c>
      <c r="C949" t="s">
        <v>1530</v>
      </c>
      <c r="D949" t="s">
        <v>1530</v>
      </c>
      <c r="E949" t="s">
        <v>4060</v>
      </c>
      <c r="F949" t="s">
        <v>4061</v>
      </c>
    </row>
    <row r="950" spans="1:6" x14ac:dyDescent="0.25">
      <c r="A950" t="s">
        <v>1678</v>
      </c>
      <c r="B950" t="str">
        <f>"94049090      "</f>
        <v xml:space="preserve">94049090      </v>
      </c>
      <c r="C950" t="s">
        <v>16</v>
      </c>
      <c r="D950" t="s">
        <v>16</v>
      </c>
      <c r="E950" t="s">
        <v>4062</v>
      </c>
      <c r="F950" t="s">
        <v>4063</v>
      </c>
    </row>
    <row r="951" spans="1:6" x14ac:dyDescent="0.25">
      <c r="A951" t="s">
        <v>1678</v>
      </c>
      <c r="B951" t="str">
        <f>"94055000      "</f>
        <v xml:space="preserve">94055000      </v>
      </c>
      <c r="C951" t="s">
        <v>4064</v>
      </c>
      <c r="D951" t="s">
        <v>4065</v>
      </c>
      <c r="E951" t="s">
        <v>4066</v>
      </c>
      <c r="F951" t="s">
        <v>4067</v>
      </c>
    </row>
    <row r="952" spans="1:6" x14ac:dyDescent="0.25">
      <c r="A952" t="s">
        <v>1678</v>
      </c>
      <c r="B952" t="str">
        <f>"94059110      "</f>
        <v xml:space="preserve">94059110      </v>
      </c>
      <c r="C952" t="s">
        <v>4068</v>
      </c>
      <c r="D952" t="s">
        <v>4068</v>
      </c>
      <c r="E952" t="s">
        <v>4069</v>
      </c>
      <c r="F952" t="s">
        <v>4070</v>
      </c>
    </row>
    <row r="953" spans="1:6" x14ac:dyDescent="0.25">
      <c r="A953" t="s">
        <v>1678</v>
      </c>
      <c r="B953" t="str">
        <f>"94059190      "</f>
        <v xml:space="preserve">94059190      </v>
      </c>
      <c r="C953" t="s">
        <v>16</v>
      </c>
      <c r="D953" t="s">
        <v>16</v>
      </c>
      <c r="E953" t="s">
        <v>4071</v>
      </c>
      <c r="F953" t="s">
        <v>4072</v>
      </c>
    </row>
    <row r="954" spans="1:6" x14ac:dyDescent="0.25">
      <c r="A954" t="s">
        <v>1678</v>
      </c>
      <c r="B954" t="str">
        <f>"94059200      "</f>
        <v xml:space="preserve">94059200      </v>
      </c>
      <c r="C954" t="s">
        <v>1590</v>
      </c>
      <c r="D954" t="s">
        <v>1590</v>
      </c>
      <c r="E954" t="s">
        <v>4073</v>
      </c>
      <c r="F954" t="s">
        <v>4074</v>
      </c>
    </row>
    <row r="955" spans="1:6" x14ac:dyDescent="0.25">
      <c r="A955" t="s">
        <v>1678</v>
      </c>
      <c r="B955" t="str">
        <f>"94059900      "</f>
        <v xml:space="preserve">94059900      </v>
      </c>
      <c r="C955" t="s">
        <v>16</v>
      </c>
      <c r="D955" t="s">
        <v>16</v>
      </c>
      <c r="E955" t="s">
        <v>4075</v>
      </c>
      <c r="F955" t="s">
        <v>4076</v>
      </c>
    </row>
    <row r="956" spans="1:6" x14ac:dyDescent="0.25">
      <c r="A956" t="s">
        <v>1678</v>
      </c>
      <c r="B956" t="str">
        <f>"94061000      "</f>
        <v xml:space="preserve">94061000      </v>
      </c>
      <c r="C956" t="s">
        <v>4077</v>
      </c>
      <c r="D956" t="s">
        <v>4077</v>
      </c>
      <c r="E956" t="s">
        <v>4078</v>
      </c>
      <c r="F956" t="s">
        <v>4079</v>
      </c>
    </row>
    <row r="957" spans="1:6" x14ac:dyDescent="0.25">
      <c r="A957" t="s">
        <v>1678</v>
      </c>
      <c r="B957" t="str">
        <f>"94069010      "</f>
        <v xml:space="preserve">94069010      </v>
      </c>
      <c r="C957" t="s">
        <v>4080</v>
      </c>
      <c r="D957" t="s">
        <v>4080</v>
      </c>
      <c r="E957" t="s">
        <v>4081</v>
      </c>
      <c r="F957" t="s">
        <v>4082</v>
      </c>
    </row>
    <row r="958" spans="1:6" x14ac:dyDescent="0.25">
      <c r="A958" t="s">
        <v>1678</v>
      </c>
      <c r="B958" t="str">
        <f>"94069031      "</f>
        <v xml:space="preserve">94069031      </v>
      </c>
      <c r="C958" t="s">
        <v>4083</v>
      </c>
      <c r="D958" t="s">
        <v>4083</v>
      </c>
      <c r="E958" t="s">
        <v>4084</v>
      </c>
      <c r="F958" t="s">
        <v>4085</v>
      </c>
    </row>
    <row r="959" spans="1:6" x14ac:dyDescent="0.25">
      <c r="A959" t="s">
        <v>1678</v>
      </c>
      <c r="B959" t="str">
        <f>"94069038      "</f>
        <v xml:space="preserve">94069038      </v>
      </c>
      <c r="C959" t="s">
        <v>16</v>
      </c>
      <c r="D959" t="s">
        <v>16</v>
      </c>
      <c r="E959" t="s">
        <v>4086</v>
      </c>
      <c r="F959" t="s">
        <v>4087</v>
      </c>
    </row>
    <row r="960" spans="1:6" x14ac:dyDescent="0.25">
      <c r="A960" t="s">
        <v>1678</v>
      </c>
      <c r="B960" t="str">
        <f>"94069090      "</f>
        <v xml:space="preserve">94069090      </v>
      </c>
      <c r="C960" t="s">
        <v>1528</v>
      </c>
      <c r="D960" t="s">
        <v>1528</v>
      </c>
      <c r="E960" t="s">
        <v>4088</v>
      </c>
      <c r="F960" t="s">
        <v>4089</v>
      </c>
    </row>
    <row r="961" spans="1:6" x14ac:dyDescent="0.25">
      <c r="A961" t="s">
        <v>1678</v>
      </c>
      <c r="B961" t="str">
        <f>"95042000      "</f>
        <v xml:space="preserve">95042000      </v>
      </c>
      <c r="C961" t="s">
        <v>4090</v>
      </c>
      <c r="D961" t="s">
        <v>4090</v>
      </c>
      <c r="E961" t="s">
        <v>4091</v>
      </c>
      <c r="F961" t="s">
        <v>4092</v>
      </c>
    </row>
    <row r="962" spans="1:6" x14ac:dyDescent="0.25">
      <c r="A962" t="s">
        <v>1678</v>
      </c>
      <c r="B962" t="str">
        <f>"95043010      "</f>
        <v xml:space="preserve">95043010      </v>
      </c>
      <c r="C962" t="s">
        <v>4093</v>
      </c>
      <c r="D962" t="s">
        <v>4093</v>
      </c>
      <c r="E962" t="s">
        <v>4094</v>
      </c>
      <c r="F962" t="s">
        <v>4095</v>
      </c>
    </row>
    <row r="963" spans="1:6" x14ac:dyDescent="0.25">
      <c r="A963" t="s">
        <v>1678</v>
      </c>
      <c r="B963" t="str">
        <f>"95043020      "</f>
        <v xml:space="preserve">95043020      </v>
      </c>
      <c r="C963" t="s">
        <v>4096</v>
      </c>
      <c r="D963" t="s">
        <v>4096</v>
      </c>
      <c r="E963" t="s">
        <v>4097</v>
      </c>
      <c r="F963" t="s">
        <v>4098</v>
      </c>
    </row>
    <row r="964" spans="1:6" x14ac:dyDescent="0.25">
      <c r="A964" t="s">
        <v>1678</v>
      </c>
      <c r="B964" t="str">
        <f>"95043090      "</f>
        <v xml:space="preserve">95043090      </v>
      </c>
      <c r="C964" t="s">
        <v>1205</v>
      </c>
      <c r="D964" t="s">
        <v>1205</v>
      </c>
      <c r="E964" t="s">
        <v>4099</v>
      </c>
      <c r="F964" t="s">
        <v>4100</v>
      </c>
    </row>
    <row r="965" spans="1:6" x14ac:dyDescent="0.25">
      <c r="A965" t="s">
        <v>1678</v>
      </c>
      <c r="B965" t="str">
        <f>"95044000      "</f>
        <v xml:space="preserve">95044000      </v>
      </c>
      <c r="C965" t="s">
        <v>4101</v>
      </c>
      <c r="D965" t="s">
        <v>4101</v>
      </c>
      <c r="E965" t="s">
        <v>4102</v>
      </c>
      <c r="F965" t="s">
        <v>4103</v>
      </c>
    </row>
    <row r="966" spans="1:6" x14ac:dyDescent="0.25">
      <c r="A966" t="s">
        <v>1678</v>
      </c>
      <c r="B966" t="str">
        <f>"95045000      "</f>
        <v xml:space="preserve">95045000      </v>
      </c>
      <c r="C966" t="s">
        <v>4104</v>
      </c>
      <c r="D966" t="s">
        <v>4104</v>
      </c>
      <c r="E966" t="s">
        <v>4105</v>
      </c>
      <c r="F966" t="s">
        <v>4106</v>
      </c>
    </row>
    <row r="967" spans="1:6" x14ac:dyDescent="0.25">
      <c r="A967" t="s">
        <v>1678</v>
      </c>
      <c r="B967" t="str">
        <f>"95049010      "</f>
        <v xml:space="preserve">95049010      </v>
      </c>
      <c r="C967" t="s">
        <v>4107</v>
      </c>
      <c r="D967" t="s">
        <v>4107</v>
      </c>
      <c r="E967" t="s">
        <v>4108</v>
      </c>
      <c r="F967" t="s">
        <v>4109</v>
      </c>
    </row>
    <row r="968" spans="1:6" x14ac:dyDescent="0.25">
      <c r="A968" t="s">
        <v>1678</v>
      </c>
      <c r="B968" t="str">
        <f>"95049080      "</f>
        <v xml:space="preserve">95049080      </v>
      </c>
      <c r="C968" t="s">
        <v>16</v>
      </c>
      <c r="D968" t="s">
        <v>16</v>
      </c>
      <c r="E968" t="s">
        <v>4110</v>
      </c>
      <c r="F968" t="s">
        <v>4111</v>
      </c>
    </row>
    <row r="969" spans="1:6" x14ac:dyDescent="0.25">
      <c r="A969" t="s">
        <v>1678</v>
      </c>
      <c r="B969" t="str">
        <f>"95081000      "</f>
        <v xml:space="preserve">95081000      </v>
      </c>
      <c r="C969" t="s">
        <v>4112</v>
      </c>
      <c r="D969" t="s">
        <v>4112</v>
      </c>
      <c r="E969" t="s">
        <v>4113</v>
      </c>
      <c r="F969" t="s">
        <v>4114</v>
      </c>
    </row>
    <row r="970" spans="1:6" x14ac:dyDescent="0.25">
      <c r="A970" t="s">
        <v>1678</v>
      </c>
      <c r="B970" t="str">
        <f>"96091010      "</f>
        <v xml:space="preserve">96091010      </v>
      </c>
      <c r="C970" t="s">
        <v>4115</v>
      </c>
      <c r="D970" t="s">
        <v>4115</v>
      </c>
      <c r="E970" t="s">
        <v>4116</v>
      </c>
      <c r="F970" t="s">
        <v>4117</v>
      </c>
    </row>
    <row r="971" spans="1:6" x14ac:dyDescent="0.25">
      <c r="A971" t="s">
        <v>1678</v>
      </c>
      <c r="B971" t="str">
        <f>"96091090      "</f>
        <v xml:space="preserve">96091090      </v>
      </c>
      <c r="C971" t="s">
        <v>16</v>
      </c>
      <c r="D971" t="s">
        <v>16</v>
      </c>
      <c r="E971" t="s">
        <v>4118</v>
      </c>
      <c r="F971" t="s">
        <v>4119</v>
      </c>
    </row>
    <row r="972" spans="1:6" x14ac:dyDescent="0.25">
      <c r="A972" t="s">
        <v>1678</v>
      </c>
      <c r="B972" t="str">
        <f>"96170000      "</f>
        <v xml:space="preserve">96170000      </v>
      </c>
      <c r="C972" t="s">
        <v>4120</v>
      </c>
      <c r="D972" t="s">
        <v>4121</v>
      </c>
      <c r="E972" t="s">
        <v>4122</v>
      </c>
      <c r="F972" t="s">
        <v>4123</v>
      </c>
    </row>
    <row r="973" spans="1:6" x14ac:dyDescent="0.25">
      <c r="A973" t="s">
        <v>1678</v>
      </c>
      <c r="B973" t="str">
        <f>"96190030      "</f>
        <v xml:space="preserve">96190030      </v>
      </c>
      <c r="C973" t="s">
        <v>4124</v>
      </c>
      <c r="D973" t="s">
        <v>4124</v>
      </c>
      <c r="E973" t="s">
        <v>4125</v>
      </c>
      <c r="F973" t="s">
        <v>4126</v>
      </c>
    </row>
    <row r="974" spans="1:6" x14ac:dyDescent="0.25">
      <c r="A974" t="s">
        <v>1678</v>
      </c>
      <c r="B974" t="str">
        <f>"96190040      "</f>
        <v xml:space="preserve">96190040      </v>
      </c>
      <c r="C974" t="s">
        <v>4127</v>
      </c>
      <c r="D974" t="s">
        <v>4127</v>
      </c>
      <c r="E974" t="s">
        <v>4128</v>
      </c>
      <c r="F974" t="s">
        <v>4129</v>
      </c>
    </row>
    <row r="975" spans="1:6" x14ac:dyDescent="0.25">
      <c r="A975" t="s">
        <v>1678</v>
      </c>
      <c r="B975" t="str">
        <f>"96190050      "</f>
        <v xml:space="preserve">96190050      </v>
      </c>
      <c r="C975" t="s">
        <v>4130</v>
      </c>
      <c r="D975" t="s">
        <v>4130</v>
      </c>
      <c r="E975" t="s">
        <v>4131</v>
      </c>
      <c r="F975" t="s">
        <v>4132</v>
      </c>
    </row>
    <row r="976" spans="1:6" x14ac:dyDescent="0.25">
      <c r="A976" t="s">
        <v>1678</v>
      </c>
      <c r="B976" t="str">
        <f>"96190071      "</f>
        <v xml:space="preserve">96190071      </v>
      </c>
      <c r="C976" t="s">
        <v>4133</v>
      </c>
      <c r="D976" t="s">
        <v>4133</v>
      </c>
      <c r="E976" t="s">
        <v>4134</v>
      </c>
      <c r="F976" t="s">
        <v>4135</v>
      </c>
    </row>
    <row r="977" spans="1:6" x14ac:dyDescent="0.25">
      <c r="A977" t="s">
        <v>1678</v>
      </c>
      <c r="B977" t="str">
        <f>"96190075      "</f>
        <v xml:space="preserve">96190075      </v>
      </c>
      <c r="C977" t="s">
        <v>4136</v>
      </c>
      <c r="D977" t="s">
        <v>4136</v>
      </c>
      <c r="E977" t="s">
        <v>4137</v>
      </c>
      <c r="F977" t="s">
        <v>4138</v>
      </c>
    </row>
    <row r="978" spans="1:6" x14ac:dyDescent="0.25">
      <c r="A978" t="s">
        <v>1678</v>
      </c>
      <c r="B978" t="str">
        <f>"96190079      "</f>
        <v xml:space="preserve">96190079      </v>
      </c>
      <c r="C978" t="s">
        <v>16</v>
      </c>
      <c r="D978" t="s">
        <v>16</v>
      </c>
      <c r="E978" t="s">
        <v>4139</v>
      </c>
      <c r="F978" t="s">
        <v>4140</v>
      </c>
    </row>
    <row r="979" spans="1:6" x14ac:dyDescent="0.25">
      <c r="A979" t="s">
        <v>1678</v>
      </c>
      <c r="B979" t="str">
        <f>"96190081      "</f>
        <v xml:space="preserve">96190081      </v>
      </c>
      <c r="C979" t="s">
        <v>4141</v>
      </c>
      <c r="D979" t="s">
        <v>4141</v>
      </c>
      <c r="E979" t="s">
        <v>4142</v>
      </c>
      <c r="F979" t="s">
        <v>4143</v>
      </c>
    </row>
    <row r="980" spans="1:6" x14ac:dyDescent="0.25">
      <c r="A980" t="s">
        <v>1678</v>
      </c>
      <c r="B980" t="str">
        <f>"96190089      "</f>
        <v xml:space="preserve">96190089      </v>
      </c>
      <c r="C980" t="s">
        <v>4144</v>
      </c>
      <c r="D980" t="s">
        <v>4144</v>
      </c>
      <c r="E980" t="s">
        <v>4145</v>
      </c>
      <c r="F980" t="s">
        <v>4146</v>
      </c>
    </row>
    <row r="981" spans="1:6" x14ac:dyDescent="0.25">
      <c r="A981" t="s">
        <v>1678</v>
      </c>
      <c r="B981" t="str">
        <f>"99190000      "</f>
        <v xml:space="preserve">99190000      </v>
      </c>
      <c r="C981" t="s">
        <v>4147</v>
      </c>
      <c r="D981" t="s">
        <v>4148</v>
      </c>
      <c r="E981" t="s">
        <v>4149</v>
      </c>
      <c r="F981" t="s">
        <v>4150</v>
      </c>
    </row>
    <row r="982" spans="1:6" x14ac:dyDescent="0.25">
      <c r="A982" t="s">
        <v>1678</v>
      </c>
      <c r="B982" t="str">
        <f>"99302400      "</f>
        <v xml:space="preserve">99302400      </v>
      </c>
      <c r="C982" t="s">
        <v>4151</v>
      </c>
      <c r="D982" t="s">
        <v>4151</v>
      </c>
      <c r="E982" t="s">
        <v>4152</v>
      </c>
      <c r="F982" t="s">
        <v>4153</v>
      </c>
    </row>
    <row r="983" spans="1:6" x14ac:dyDescent="0.25">
      <c r="A983" t="s">
        <v>1678</v>
      </c>
      <c r="B983" t="str">
        <f>"99302700      "</f>
        <v xml:space="preserve">99302700      </v>
      </c>
      <c r="C983" t="s">
        <v>4154</v>
      </c>
      <c r="D983" t="s">
        <v>4154</v>
      </c>
      <c r="E983" t="s">
        <v>4155</v>
      </c>
      <c r="F983" t="s">
        <v>4156</v>
      </c>
    </row>
    <row r="984" spans="1:6" x14ac:dyDescent="0.25">
      <c r="A984" t="s">
        <v>1678</v>
      </c>
      <c r="B984" t="str">
        <f>"99309900      "</f>
        <v xml:space="preserve">99309900      </v>
      </c>
      <c r="C984" t="s">
        <v>4157</v>
      </c>
      <c r="D984" t="s">
        <v>4157</v>
      </c>
      <c r="E984" t="s">
        <v>4158</v>
      </c>
      <c r="F984" t="s">
        <v>4159</v>
      </c>
    </row>
    <row r="985" spans="1:6" x14ac:dyDescent="0.25">
      <c r="A985" t="s">
        <v>1678</v>
      </c>
      <c r="B985" t="str">
        <f>"99312400      "</f>
        <v xml:space="preserve">99312400      </v>
      </c>
      <c r="C985" t="s">
        <v>4151</v>
      </c>
      <c r="D985" t="s">
        <v>4151</v>
      </c>
      <c r="E985" t="s">
        <v>4160</v>
      </c>
      <c r="F985" t="s">
        <v>4161</v>
      </c>
    </row>
    <row r="986" spans="1:6" x14ac:dyDescent="0.25">
      <c r="A986" t="s">
        <v>1678</v>
      </c>
      <c r="B986" t="str">
        <f>"99312700      "</f>
        <v xml:space="preserve">99312700      </v>
      </c>
      <c r="C986" t="s">
        <v>4154</v>
      </c>
      <c r="D986" t="s">
        <v>4154</v>
      </c>
      <c r="E986" t="s">
        <v>4162</v>
      </c>
      <c r="F986" t="s">
        <v>4163</v>
      </c>
    </row>
    <row r="987" spans="1:6" x14ac:dyDescent="0.25">
      <c r="A987" t="s">
        <v>1678</v>
      </c>
      <c r="B987" t="str">
        <f>"99319900      "</f>
        <v xml:space="preserve">99319900      </v>
      </c>
      <c r="C987" t="s">
        <v>4157</v>
      </c>
      <c r="D987" t="s">
        <v>4157</v>
      </c>
      <c r="E987" t="s">
        <v>4164</v>
      </c>
      <c r="F987" t="s">
        <v>4165</v>
      </c>
    </row>
    <row r="988" spans="1:6" x14ac:dyDescent="0.25">
      <c r="A988" t="s">
        <v>1678</v>
      </c>
      <c r="B988" t="str">
        <f>"99500000      "</f>
        <v xml:space="preserve">99500000      </v>
      </c>
      <c r="C988" t="s">
        <v>4166</v>
      </c>
      <c r="D988" t="s">
        <v>4166</v>
      </c>
      <c r="E988" t="s">
        <v>4167</v>
      </c>
      <c r="F988" t="s">
        <v>4168</v>
      </c>
    </row>
    <row r="989" spans="1:6" x14ac:dyDescent="0.25">
      <c r="A989" t="s">
        <v>1679</v>
      </c>
      <c r="B989" t="str">
        <f>"03021110      "</f>
        <v xml:space="preserve">03021110      </v>
      </c>
      <c r="C989" t="s">
        <v>4169</v>
      </c>
      <c r="D989" t="s">
        <v>4169</v>
      </c>
      <c r="E989" t="s">
        <v>4170</v>
      </c>
      <c r="F989" t="s">
        <v>4171</v>
      </c>
    </row>
    <row r="990" spans="1:6" x14ac:dyDescent="0.25">
      <c r="A990" t="s">
        <v>1679</v>
      </c>
      <c r="B990" t="str">
        <f>"03021120      "</f>
        <v xml:space="preserve">03021120      </v>
      </c>
      <c r="C990" t="s">
        <v>4172</v>
      </c>
      <c r="D990" t="s">
        <v>4172</v>
      </c>
      <c r="E990" t="s">
        <v>4173</v>
      </c>
      <c r="F990" t="s">
        <v>4174</v>
      </c>
    </row>
    <row r="991" spans="1:6" x14ac:dyDescent="0.25">
      <c r="A991" t="s">
        <v>1679</v>
      </c>
      <c r="B991" t="str">
        <f>"03021180      "</f>
        <v xml:space="preserve">03021180      </v>
      </c>
      <c r="C991" t="s">
        <v>4175</v>
      </c>
      <c r="D991" t="s">
        <v>4175</v>
      </c>
      <c r="E991" t="s">
        <v>4176</v>
      </c>
      <c r="F991" t="s">
        <v>4177</v>
      </c>
    </row>
    <row r="992" spans="1:6" x14ac:dyDescent="0.25">
      <c r="A992" t="s">
        <v>1679</v>
      </c>
      <c r="B992" t="str">
        <f>"03021300      "</f>
        <v xml:space="preserve">03021300      </v>
      </c>
      <c r="C992" t="s">
        <v>4178</v>
      </c>
      <c r="D992" t="s">
        <v>4178</v>
      </c>
      <c r="E992" t="s">
        <v>4179</v>
      </c>
      <c r="F992" t="s">
        <v>4180</v>
      </c>
    </row>
    <row r="993" spans="1:6" x14ac:dyDescent="0.25">
      <c r="A993" t="s">
        <v>1679</v>
      </c>
      <c r="B993" t="str">
        <f>"03021400      "</f>
        <v xml:space="preserve">03021400      </v>
      </c>
      <c r="C993" t="s">
        <v>4181</v>
      </c>
      <c r="D993" t="s">
        <v>4181</v>
      </c>
      <c r="E993" t="s">
        <v>4182</v>
      </c>
      <c r="F993" t="s">
        <v>4183</v>
      </c>
    </row>
    <row r="994" spans="1:6" x14ac:dyDescent="0.25">
      <c r="A994" t="s">
        <v>1679</v>
      </c>
      <c r="B994" t="str">
        <f>"03021900      "</f>
        <v xml:space="preserve">03021900      </v>
      </c>
      <c r="C994" t="s">
        <v>4175</v>
      </c>
      <c r="D994" t="s">
        <v>4175</v>
      </c>
      <c r="E994" t="s">
        <v>4184</v>
      </c>
      <c r="F994" t="s">
        <v>4185</v>
      </c>
    </row>
    <row r="995" spans="1:6" x14ac:dyDescent="0.25">
      <c r="A995" t="s">
        <v>1679</v>
      </c>
      <c r="B995" t="str">
        <f>"03023110      "</f>
        <v xml:space="preserve">03023110      </v>
      </c>
      <c r="C995" t="s">
        <v>4186</v>
      </c>
      <c r="D995" t="s">
        <v>4186</v>
      </c>
      <c r="E995" t="s">
        <v>4187</v>
      </c>
      <c r="F995" t="s">
        <v>4188</v>
      </c>
    </row>
    <row r="996" spans="1:6" x14ac:dyDescent="0.25">
      <c r="A996" t="s">
        <v>1679</v>
      </c>
      <c r="B996" t="str">
        <f>"03023190      "</f>
        <v xml:space="preserve">03023190      </v>
      </c>
      <c r="C996" t="s">
        <v>4175</v>
      </c>
      <c r="D996" t="s">
        <v>4175</v>
      </c>
      <c r="E996" t="s">
        <v>4189</v>
      </c>
      <c r="F996" t="s">
        <v>4190</v>
      </c>
    </row>
    <row r="997" spans="1:6" x14ac:dyDescent="0.25">
      <c r="A997" t="s">
        <v>1679</v>
      </c>
      <c r="B997" t="str">
        <f>"03023210      "</f>
        <v xml:space="preserve">03023210      </v>
      </c>
      <c r="C997" t="s">
        <v>4186</v>
      </c>
      <c r="D997" t="s">
        <v>4186</v>
      </c>
      <c r="E997" t="s">
        <v>4191</v>
      </c>
      <c r="F997" t="s">
        <v>4192</v>
      </c>
    </row>
    <row r="998" spans="1:6" x14ac:dyDescent="0.25">
      <c r="A998" t="s">
        <v>1679</v>
      </c>
      <c r="B998" t="str">
        <f>"03023290      "</f>
        <v xml:space="preserve">03023290      </v>
      </c>
      <c r="C998" t="s">
        <v>4175</v>
      </c>
      <c r="D998" t="s">
        <v>4175</v>
      </c>
      <c r="E998" t="s">
        <v>4193</v>
      </c>
      <c r="F998" t="s">
        <v>4194</v>
      </c>
    </row>
    <row r="999" spans="1:6" x14ac:dyDescent="0.25">
      <c r="A999" t="s">
        <v>1679</v>
      </c>
      <c r="B999" t="str">
        <f>"03023310      "</f>
        <v xml:space="preserve">03023310      </v>
      </c>
      <c r="C999" t="s">
        <v>4186</v>
      </c>
      <c r="D999" t="s">
        <v>4186</v>
      </c>
      <c r="E999" t="s">
        <v>4195</v>
      </c>
      <c r="F999" t="s">
        <v>4196</v>
      </c>
    </row>
    <row r="1000" spans="1:6" x14ac:dyDescent="0.25">
      <c r="A1000" t="s">
        <v>1679</v>
      </c>
      <c r="B1000" t="str">
        <f>"03023390      "</f>
        <v xml:space="preserve">03023390      </v>
      </c>
      <c r="C1000" t="s">
        <v>4175</v>
      </c>
      <c r="D1000" t="s">
        <v>4175</v>
      </c>
      <c r="E1000" t="s">
        <v>4197</v>
      </c>
      <c r="F1000" t="s">
        <v>4198</v>
      </c>
    </row>
    <row r="1001" spans="1:6" x14ac:dyDescent="0.25">
      <c r="A1001" t="s">
        <v>1679</v>
      </c>
      <c r="B1001" t="str">
        <f>"03023410      "</f>
        <v xml:space="preserve">03023410      </v>
      </c>
      <c r="C1001" t="s">
        <v>4186</v>
      </c>
      <c r="D1001" t="s">
        <v>4186</v>
      </c>
      <c r="E1001" t="s">
        <v>4199</v>
      </c>
      <c r="F1001" t="s">
        <v>4200</v>
      </c>
    </row>
    <row r="1002" spans="1:6" x14ac:dyDescent="0.25">
      <c r="A1002" t="s">
        <v>1679</v>
      </c>
      <c r="B1002" t="str">
        <f>"03023490      "</f>
        <v xml:space="preserve">03023490      </v>
      </c>
      <c r="C1002" t="s">
        <v>4175</v>
      </c>
      <c r="D1002" t="s">
        <v>4175</v>
      </c>
      <c r="E1002" t="s">
        <v>4201</v>
      </c>
      <c r="F1002" t="s">
        <v>4202</v>
      </c>
    </row>
    <row r="1003" spans="1:6" x14ac:dyDescent="0.25">
      <c r="A1003" t="s">
        <v>1679</v>
      </c>
      <c r="B1003" t="str">
        <f>"03023511      "</f>
        <v xml:space="preserve">03023511      </v>
      </c>
      <c r="C1003" t="s">
        <v>4186</v>
      </c>
      <c r="D1003" t="s">
        <v>4186</v>
      </c>
      <c r="E1003" t="s">
        <v>4203</v>
      </c>
      <c r="F1003" t="s">
        <v>4204</v>
      </c>
    </row>
    <row r="1004" spans="1:6" x14ac:dyDescent="0.25">
      <c r="A1004" t="s">
        <v>1679</v>
      </c>
      <c r="B1004" t="str">
        <f>"03023519      "</f>
        <v xml:space="preserve">03023519      </v>
      </c>
      <c r="C1004" t="s">
        <v>4175</v>
      </c>
      <c r="D1004" t="s">
        <v>4175</v>
      </c>
      <c r="E1004" t="s">
        <v>4205</v>
      </c>
      <c r="F1004" t="s">
        <v>4206</v>
      </c>
    </row>
    <row r="1005" spans="1:6" x14ac:dyDescent="0.25">
      <c r="A1005" t="s">
        <v>1679</v>
      </c>
      <c r="B1005" t="str">
        <f>"03023591      "</f>
        <v xml:space="preserve">03023591      </v>
      </c>
      <c r="C1005" t="s">
        <v>4186</v>
      </c>
      <c r="D1005" t="s">
        <v>4186</v>
      </c>
      <c r="E1005" t="s">
        <v>4207</v>
      </c>
      <c r="F1005" t="s">
        <v>4208</v>
      </c>
    </row>
    <row r="1006" spans="1:6" x14ac:dyDescent="0.25">
      <c r="A1006" t="s">
        <v>1679</v>
      </c>
      <c r="B1006" t="str">
        <f>"03023599      "</f>
        <v xml:space="preserve">03023599      </v>
      </c>
      <c r="C1006" t="s">
        <v>4175</v>
      </c>
      <c r="D1006" t="s">
        <v>4175</v>
      </c>
      <c r="E1006" t="s">
        <v>4209</v>
      </c>
      <c r="F1006" t="s">
        <v>4210</v>
      </c>
    </row>
    <row r="1007" spans="1:6" x14ac:dyDescent="0.25">
      <c r="A1007" t="s">
        <v>1679</v>
      </c>
      <c r="B1007" t="str">
        <f>"03023610      "</f>
        <v xml:space="preserve">03023610      </v>
      </c>
      <c r="C1007" t="s">
        <v>4186</v>
      </c>
      <c r="D1007" t="s">
        <v>4186</v>
      </c>
      <c r="E1007" t="s">
        <v>4211</v>
      </c>
      <c r="F1007" t="s">
        <v>4212</v>
      </c>
    </row>
    <row r="1008" spans="1:6" x14ac:dyDescent="0.25">
      <c r="A1008" t="s">
        <v>1679</v>
      </c>
      <c r="B1008" t="str">
        <f>"03023690      "</f>
        <v xml:space="preserve">03023690      </v>
      </c>
      <c r="C1008" t="s">
        <v>4175</v>
      </c>
      <c r="D1008" t="s">
        <v>4175</v>
      </c>
      <c r="E1008" t="s">
        <v>4213</v>
      </c>
      <c r="F1008" t="s">
        <v>4214</v>
      </c>
    </row>
    <row r="1009" spans="1:6" x14ac:dyDescent="0.25">
      <c r="A1009" t="s">
        <v>1679</v>
      </c>
      <c r="B1009" t="str">
        <f>"03023920      "</f>
        <v xml:space="preserve">03023920      </v>
      </c>
      <c r="C1009" t="s">
        <v>4186</v>
      </c>
      <c r="D1009" t="s">
        <v>4186</v>
      </c>
      <c r="E1009" t="s">
        <v>4215</v>
      </c>
      <c r="F1009" t="s">
        <v>4216</v>
      </c>
    </row>
    <row r="1010" spans="1:6" x14ac:dyDescent="0.25">
      <c r="A1010" t="s">
        <v>1679</v>
      </c>
      <c r="B1010" t="str">
        <f>"03023980      "</f>
        <v xml:space="preserve">03023980      </v>
      </c>
      <c r="C1010" t="s">
        <v>4175</v>
      </c>
      <c r="D1010" t="s">
        <v>4175</v>
      </c>
      <c r="E1010" t="s">
        <v>4217</v>
      </c>
      <c r="F1010" t="s">
        <v>4218</v>
      </c>
    </row>
    <row r="1011" spans="1:6" x14ac:dyDescent="0.25">
      <c r="A1011" t="s">
        <v>1679</v>
      </c>
      <c r="B1011" t="str">
        <f>"03028921      "</f>
        <v xml:space="preserve">03028921      </v>
      </c>
      <c r="C1011" t="s">
        <v>4186</v>
      </c>
      <c r="D1011" t="s">
        <v>4186</v>
      </c>
      <c r="E1011" t="s">
        <v>4219</v>
      </c>
      <c r="F1011" t="s">
        <v>4220</v>
      </c>
    </row>
    <row r="1012" spans="1:6" x14ac:dyDescent="0.25">
      <c r="A1012" t="s">
        <v>1679</v>
      </c>
      <c r="B1012" t="str">
        <f>"03028929      "</f>
        <v xml:space="preserve">03028929      </v>
      </c>
      <c r="C1012" t="s">
        <v>4175</v>
      </c>
      <c r="D1012" t="s">
        <v>4175</v>
      </c>
      <c r="E1012" t="s">
        <v>4221</v>
      </c>
      <c r="F1012" t="s">
        <v>4222</v>
      </c>
    </row>
    <row r="1013" spans="1:6" x14ac:dyDescent="0.25">
      <c r="A1013" t="s">
        <v>1679</v>
      </c>
      <c r="B1013" t="str">
        <f>"03034110      "</f>
        <v xml:space="preserve">03034110      </v>
      </c>
      <c r="C1013" t="s">
        <v>4186</v>
      </c>
      <c r="D1013" t="s">
        <v>4186</v>
      </c>
      <c r="E1013" t="s">
        <v>4223</v>
      </c>
      <c r="F1013" t="s">
        <v>4224</v>
      </c>
    </row>
    <row r="1014" spans="1:6" x14ac:dyDescent="0.25">
      <c r="A1014" t="s">
        <v>1679</v>
      </c>
      <c r="B1014" t="str">
        <f>"03034190      "</f>
        <v xml:space="preserve">03034190      </v>
      </c>
      <c r="C1014" t="s">
        <v>4175</v>
      </c>
      <c r="D1014" t="s">
        <v>4175</v>
      </c>
      <c r="E1014" t="s">
        <v>4225</v>
      </c>
      <c r="F1014" t="s">
        <v>4226</v>
      </c>
    </row>
    <row r="1015" spans="1:6" x14ac:dyDescent="0.25">
      <c r="A1015" t="s">
        <v>1679</v>
      </c>
      <c r="B1015" t="str">
        <f>"03034220      "</f>
        <v xml:space="preserve">03034220      </v>
      </c>
      <c r="C1015" t="s">
        <v>4186</v>
      </c>
      <c r="D1015" t="s">
        <v>4186</v>
      </c>
      <c r="E1015" t="s">
        <v>4227</v>
      </c>
      <c r="F1015" t="s">
        <v>4228</v>
      </c>
    </row>
    <row r="1016" spans="1:6" x14ac:dyDescent="0.25">
      <c r="A1016" t="s">
        <v>1679</v>
      </c>
      <c r="B1016" t="str">
        <f>"03034290      "</f>
        <v xml:space="preserve">03034290      </v>
      </c>
      <c r="C1016" t="s">
        <v>4175</v>
      </c>
      <c r="D1016" t="s">
        <v>4175</v>
      </c>
      <c r="E1016" t="s">
        <v>4229</v>
      </c>
      <c r="F1016" t="s">
        <v>4230</v>
      </c>
    </row>
    <row r="1017" spans="1:6" x14ac:dyDescent="0.25">
      <c r="A1017" t="s">
        <v>1679</v>
      </c>
      <c r="B1017" t="str">
        <f>"03034310      "</f>
        <v xml:space="preserve">03034310      </v>
      </c>
      <c r="C1017" t="s">
        <v>4186</v>
      </c>
      <c r="D1017" t="s">
        <v>4186</v>
      </c>
      <c r="E1017" t="s">
        <v>4231</v>
      </c>
      <c r="F1017" t="s">
        <v>4232</v>
      </c>
    </row>
    <row r="1018" spans="1:6" x14ac:dyDescent="0.25">
      <c r="A1018" t="s">
        <v>1679</v>
      </c>
      <c r="B1018" t="str">
        <f>"03034390      "</f>
        <v xml:space="preserve">03034390      </v>
      </c>
      <c r="C1018" t="s">
        <v>4175</v>
      </c>
      <c r="D1018" t="s">
        <v>4175</v>
      </c>
      <c r="E1018" t="s">
        <v>4233</v>
      </c>
      <c r="F1018" t="s">
        <v>4234</v>
      </c>
    </row>
    <row r="1019" spans="1:6" x14ac:dyDescent="0.25">
      <c r="A1019" t="s">
        <v>1679</v>
      </c>
      <c r="B1019" t="str">
        <f>"03034410      "</f>
        <v xml:space="preserve">03034410      </v>
      </c>
      <c r="C1019" t="s">
        <v>4186</v>
      </c>
      <c r="D1019" t="s">
        <v>4186</v>
      </c>
      <c r="E1019" t="s">
        <v>4235</v>
      </c>
      <c r="F1019" t="s">
        <v>4236</v>
      </c>
    </row>
    <row r="1020" spans="1:6" x14ac:dyDescent="0.25">
      <c r="A1020" t="s">
        <v>1679</v>
      </c>
      <c r="B1020" t="str">
        <f>"03034490      "</f>
        <v xml:space="preserve">03034490      </v>
      </c>
      <c r="C1020" t="s">
        <v>4175</v>
      </c>
      <c r="D1020" t="s">
        <v>4175</v>
      </c>
      <c r="E1020" t="s">
        <v>4237</v>
      </c>
      <c r="F1020" t="s">
        <v>4238</v>
      </c>
    </row>
    <row r="1021" spans="1:6" x14ac:dyDescent="0.25">
      <c r="A1021" t="s">
        <v>1679</v>
      </c>
      <c r="B1021" t="str">
        <f>"03034512      "</f>
        <v xml:space="preserve">03034512      </v>
      </c>
      <c r="C1021" t="s">
        <v>4186</v>
      </c>
      <c r="D1021" t="s">
        <v>4186</v>
      </c>
      <c r="E1021" t="s">
        <v>4239</v>
      </c>
      <c r="F1021" t="s">
        <v>4240</v>
      </c>
    </row>
    <row r="1022" spans="1:6" x14ac:dyDescent="0.25">
      <c r="A1022" t="s">
        <v>1679</v>
      </c>
      <c r="B1022" t="str">
        <f>"03034518      "</f>
        <v xml:space="preserve">03034518      </v>
      </c>
      <c r="C1022" t="s">
        <v>4175</v>
      </c>
      <c r="D1022" t="s">
        <v>4175</v>
      </c>
      <c r="E1022" t="s">
        <v>4241</v>
      </c>
      <c r="F1022" t="s">
        <v>4242</v>
      </c>
    </row>
    <row r="1023" spans="1:6" x14ac:dyDescent="0.25">
      <c r="A1023" t="s">
        <v>1679</v>
      </c>
      <c r="B1023" t="str">
        <f>"03034591      "</f>
        <v xml:space="preserve">03034591      </v>
      </c>
      <c r="C1023" t="s">
        <v>4186</v>
      </c>
      <c r="D1023" t="s">
        <v>4186</v>
      </c>
      <c r="E1023" t="s">
        <v>4243</v>
      </c>
      <c r="F1023" t="s">
        <v>4244</v>
      </c>
    </row>
    <row r="1024" spans="1:6" x14ac:dyDescent="0.25">
      <c r="A1024" t="s">
        <v>1679</v>
      </c>
      <c r="B1024" t="str">
        <f>"03034599      "</f>
        <v xml:space="preserve">03034599      </v>
      </c>
      <c r="C1024" t="s">
        <v>4175</v>
      </c>
      <c r="D1024" t="s">
        <v>4175</v>
      </c>
      <c r="E1024" t="s">
        <v>4245</v>
      </c>
      <c r="F1024" t="s">
        <v>4246</v>
      </c>
    </row>
    <row r="1025" spans="1:6" x14ac:dyDescent="0.25">
      <c r="A1025" t="s">
        <v>1679</v>
      </c>
      <c r="B1025" t="str">
        <f>"03034610      "</f>
        <v xml:space="preserve">03034610      </v>
      </c>
      <c r="C1025" t="s">
        <v>4186</v>
      </c>
      <c r="D1025" t="s">
        <v>4186</v>
      </c>
      <c r="E1025" t="s">
        <v>4247</v>
      </c>
      <c r="F1025" t="s">
        <v>4248</v>
      </c>
    </row>
    <row r="1026" spans="1:6" x14ac:dyDescent="0.25">
      <c r="A1026" t="s">
        <v>1679</v>
      </c>
      <c r="B1026" t="str">
        <f>"03034690      "</f>
        <v xml:space="preserve">03034690      </v>
      </c>
      <c r="C1026" t="s">
        <v>4175</v>
      </c>
      <c r="D1026" t="s">
        <v>4175</v>
      </c>
      <c r="E1026" t="s">
        <v>4249</v>
      </c>
      <c r="F1026" t="s">
        <v>4250</v>
      </c>
    </row>
    <row r="1027" spans="1:6" x14ac:dyDescent="0.25">
      <c r="A1027" t="s">
        <v>1679</v>
      </c>
      <c r="B1027" t="str">
        <f>"03034920      "</f>
        <v xml:space="preserve">03034920      </v>
      </c>
      <c r="C1027" t="s">
        <v>4186</v>
      </c>
      <c r="D1027" t="s">
        <v>4186</v>
      </c>
      <c r="E1027" t="s">
        <v>4251</v>
      </c>
      <c r="F1027" t="s">
        <v>4252</v>
      </c>
    </row>
    <row r="1028" spans="1:6" x14ac:dyDescent="0.25">
      <c r="A1028" t="s">
        <v>1679</v>
      </c>
      <c r="B1028" t="str">
        <f>"03034985      "</f>
        <v xml:space="preserve">03034985      </v>
      </c>
      <c r="C1028" t="s">
        <v>4175</v>
      </c>
      <c r="D1028" t="s">
        <v>4175</v>
      </c>
      <c r="E1028" t="s">
        <v>4253</v>
      </c>
      <c r="F1028" t="s">
        <v>4254</v>
      </c>
    </row>
    <row r="1029" spans="1:6" x14ac:dyDescent="0.25">
      <c r="A1029" t="s">
        <v>1679</v>
      </c>
      <c r="B1029" t="str">
        <f>"03038921      "</f>
        <v xml:space="preserve">03038921      </v>
      </c>
      <c r="C1029" t="s">
        <v>4186</v>
      </c>
      <c r="D1029" t="s">
        <v>4186</v>
      </c>
      <c r="E1029" t="s">
        <v>4255</v>
      </c>
      <c r="F1029" t="s">
        <v>4256</v>
      </c>
    </row>
    <row r="1030" spans="1:6" x14ac:dyDescent="0.25">
      <c r="A1030" t="s">
        <v>1679</v>
      </c>
      <c r="B1030" t="str">
        <f>"03038929      "</f>
        <v xml:space="preserve">03038929      </v>
      </c>
      <c r="C1030" t="s">
        <v>4175</v>
      </c>
      <c r="D1030" t="s">
        <v>4175</v>
      </c>
      <c r="E1030" t="s">
        <v>4257</v>
      </c>
      <c r="F1030" t="s">
        <v>4258</v>
      </c>
    </row>
    <row r="1031" spans="1:6" x14ac:dyDescent="0.25">
      <c r="A1031" t="s">
        <v>1679</v>
      </c>
      <c r="B1031" t="str">
        <f>"03047500      "</f>
        <v xml:space="preserve">03047500      </v>
      </c>
      <c r="C1031" t="s">
        <v>4259</v>
      </c>
      <c r="D1031" t="s">
        <v>4260</v>
      </c>
      <c r="E1031" t="s">
        <v>4261</v>
      </c>
      <c r="F1031" t="s">
        <v>4262</v>
      </c>
    </row>
    <row r="1032" spans="1:6" x14ac:dyDescent="0.25">
      <c r="A1032" t="s">
        <v>1679</v>
      </c>
      <c r="B1032" t="str">
        <f>"03048700      "</f>
        <v xml:space="preserve">03048700      </v>
      </c>
      <c r="C1032" t="s">
        <v>4263</v>
      </c>
      <c r="D1032" t="s">
        <v>4264</v>
      </c>
      <c r="E1032" t="s">
        <v>4265</v>
      </c>
      <c r="F1032" t="s">
        <v>4266</v>
      </c>
    </row>
    <row r="1033" spans="1:6" x14ac:dyDescent="0.25">
      <c r="A1033" t="s">
        <v>1679</v>
      </c>
      <c r="B1033" t="str">
        <f>"03048930      "</f>
        <v xml:space="preserve">03048930      </v>
      </c>
      <c r="C1033" t="s">
        <v>4267</v>
      </c>
      <c r="D1033" t="s">
        <v>4268</v>
      </c>
      <c r="E1033" t="s">
        <v>4269</v>
      </c>
      <c r="F1033" t="s">
        <v>4270</v>
      </c>
    </row>
    <row r="1034" spans="1:6" x14ac:dyDescent="0.25">
      <c r="A1034" t="s">
        <v>1679</v>
      </c>
      <c r="B1034" t="str">
        <f>"03049410      "</f>
        <v xml:space="preserve">03049410      </v>
      </c>
      <c r="C1034" t="s">
        <v>4271</v>
      </c>
      <c r="D1034" t="s">
        <v>4271</v>
      </c>
      <c r="E1034" t="s">
        <v>4272</v>
      </c>
      <c r="F1034" t="s">
        <v>4273</v>
      </c>
    </row>
    <row r="1035" spans="1:6" x14ac:dyDescent="0.25">
      <c r="A1035" t="s">
        <v>1679</v>
      </c>
      <c r="B1035" t="str">
        <f>"03049490      "</f>
        <v xml:space="preserve">03049490      </v>
      </c>
      <c r="C1035" t="s">
        <v>4175</v>
      </c>
      <c r="D1035" t="s">
        <v>4175</v>
      </c>
      <c r="E1035" t="s">
        <v>4274</v>
      </c>
      <c r="F1035" t="s">
        <v>4275</v>
      </c>
    </row>
    <row r="1036" spans="1:6" x14ac:dyDescent="0.25">
      <c r="A1036" t="s">
        <v>1679</v>
      </c>
      <c r="B1036" t="str">
        <f>"03052000      "</f>
        <v xml:space="preserve">03052000      </v>
      </c>
      <c r="C1036" t="s">
        <v>4276</v>
      </c>
      <c r="D1036" t="s">
        <v>4276</v>
      </c>
      <c r="E1036" t="s">
        <v>4277</v>
      </c>
      <c r="F1036" t="s">
        <v>4278</v>
      </c>
    </row>
    <row r="1037" spans="1:6" x14ac:dyDescent="0.25">
      <c r="A1037" t="s">
        <v>1679</v>
      </c>
      <c r="B1037" t="str">
        <f>"03053100      "</f>
        <v xml:space="preserve">03053100      </v>
      </c>
      <c r="C1037" t="s">
        <v>4279</v>
      </c>
      <c r="D1037" t="s">
        <v>4279</v>
      </c>
      <c r="E1037" t="s">
        <v>4280</v>
      </c>
      <c r="F1037" t="s">
        <v>4281</v>
      </c>
    </row>
    <row r="1038" spans="1:6" x14ac:dyDescent="0.25">
      <c r="A1038" t="s">
        <v>1679</v>
      </c>
      <c r="B1038" t="str">
        <f>"03053211      "</f>
        <v xml:space="preserve">03053211      </v>
      </c>
      <c r="C1038" t="s">
        <v>4282</v>
      </c>
      <c r="D1038" t="s">
        <v>4282</v>
      </c>
      <c r="E1038" t="s">
        <v>4283</v>
      </c>
      <c r="F1038" t="s">
        <v>4284</v>
      </c>
    </row>
    <row r="1039" spans="1:6" x14ac:dyDescent="0.25">
      <c r="A1039" t="s">
        <v>1679</v>
      </c>
      <c r="B1039" t="str">
        <f>"03053219      "</f>
        <v xml:space="preserve">03053219      </v>
      </c>
      <c r="C1039" t="s">
        <v>4175</v>
      </c>
      <c r="D1039" t="s">
        <v>4175</v>
      </c>
      <c r="E1039" t="s">
        <v>4285</v>
      </c>
      <c r="F1039" t="s">
        <v>4286</v>
      </c>
    </row>
    <row r="1040" spans="1:6" x14ac:dyDescent="0.25">
      <c r="A1040" t="s">
        <v>1679</v>
      </c>
      <c r="B1040" t="str">
        <f>"03053290      "</f>
        <v xml:space="preserve">03053290      </v>
      </c>
      <c r="C1040" t="s">
        <v>4175</v>
      </c>
      <c r="D1040" t="s">
        <v>4175</v>
      </c>
      <c r="E1040" t="s">
        <v>4287</v>
      </c>
      <c r="F1040" t="s">
        <v>4288</v>
      </c>
    </row>
    <row r="1041" spans="1:6" x14ac:dyDescent="0.25">
      <c r="A1041" t="s">
        <v>1679</v>
      </c>
      <c r="B1041" t="str">
        <f>"03053910      "</f>
        <v xml:space="preserve">03053910      </v>
      </c>
      <c r="C1041" t="s">
        <v>4289</v>
      </c>
      <c r="D1041" t="s">
        <v>4289</v>
      </c>
      <c r="E1041" t="s">
        <v>4290</v>
      </c>
      <c r="F1041" t="s">
        <v>4291</v>
      </c>
    </row>
    <row r="1042" spans="1:6" x14ac:dyDescent="0.25">
      <c r="A1042" t="s">
        <v>1679</v>
      </c>
      <c r="B1042" t="str">
        <f>"03053950      "</f>
        <v xml:space="preserve">03053950      </v>
      </c>
      <c r="C1042" t="s">
        <v>4292</v>
      </c>
      <c r="D1042" t="s">
        <v>4292</v>
      </c>
      <c r="E1042" t="s">
        <v>4293</v>
      </c>
      <c r="F1042" t="s">
        <v>4294</v>
      </c>
    </row>
    <row r="1043" spans="1:6" x14ac:dyDescent="0.25">
      <c r="A1043" t="s">
        <v>1679</v>
      </c>
      <c r="B1043" t="str">
        <f>"03053990      "</f>
        <v xml:space="preserve">03053990      </v>
      </c>
      <c r="C1043" t="s">
        <v>4175</v>
      </c>
      <c r="D1043" t="s">
        <v>4175</v>
      </c>
      <c r="E1043" t="s">
        <v>4295</v>
      </c>
      <c r="F1043" t="s">
        <v>4296</v>
      </c>
    </row>
    <row r="1044" spans="1:6" x14ac:dyDescent="0.25">
      <c r="A1044" t="s">
        <v>1679</v>
      </c>
      <c r="B1044" t="str">
        <f>"03054100      "</f>
        <v xml:space="preserve">03054100      </v>
      </c>
      <c r="C1044" t="s">
        <v>4297</v>
      </c>
      <c r="D1044" t="s">
        <v>4297</v>
      </c>
      <c r="E1044" t="s">
        <v>4298</v>
      </c>
      <c r="F1044" t="s">
        <v>4299</v>
      </c>
    </row>
    <row r="1045" spans="1:6" x14ac:dyDescent="0.25">
      <c r="A1045" t="s">
        <v>1679</v>
      </c>
      <c r="B1045" t="str">
        <f>"03054200      "</f>
        <v xml:space="preserve">03054200      </v>
      </c>
      <c r="C1045" t="s">
        <v>4300</v>
      </c>
      <c r="D1045" t="s">
        <v>4300</v>
      </c>
      <c r="E1045" t="s">
        <v>4301</v>
      </c>
      <c r="F1045" t="s">
        <v>4302</v>
      </c>
    </row>
    <row r="1046" spans="1:6" x14ac:dyDescent="0.25">
      <c r="A1046" t="s">
        <v>1679</v>
      </c>
      <c r="B1046" t="str">
        <f>"03054300      "</f>
        <v xml:space="preserve">03054300      </v>
      </c>
      <c r="C1046" t="s">
        <v>4303</v>
      </c>
      <c r="D1046" t="s">
        <v>4303</v>
      </c>
      <c r="E1046" t="s">
        <v>4304</v>
      </c>
      <c r="F1046" t="s">
        <v>4305</v>
      </c>
    </row>
    <row r="1047" spans="1:6" x14ac:dyDescent="0.25">
      <c r="A1047" t="s">
        <v>1679</v>
      </c>
      <c r="B1047" t="str">
        <f>"03054410      "</f>
        <v xml:space="preserve">03054410      </v>
      </c>
      <c r="C1047" t="s">
        <v>4306</v>
      </c>
      <c r="D1047" t="s">
        <v>4306</v>
      </c>
      <c r="E1047" t="s">
        <v>4307</v>
      </c>
      <c r="F1047" t="s">
        <v>4308</v>
      </c>
    </row>
    <row r="1048" spans="1:6" x14ac:dyDescent="0.25">
      <c r="A1048" t="s">
        <v>1679</v>
      </c>
      <c r="B1048" t="str">
        <f>"03054490      "</f>
        <v xml:space="preserve">03054490      </v>
      </c>
      <c r="C1048" t="s">
        <v>4175</v>
      </c>
      <c r="D1048" t="s">
        <v>4175</v>
      </c>
      <c r="E1048" t="s">
        <v>4309</v>
      </c>
      <c r="F1048" t="s">
        <v>4310</v>
      </c>
    </row>
    <row r="1049" spans="1:6" x14ac:dyDescent="0.25">
      <c r="A1049" t="s">
        <v>1679</v>
      </c>
      <c r="B1049" t="str">
        <f>"03054910      "</f>
        <v xml:space="preserve">03054910      </v>
      </c>
      <c r="C1049" t="s">
        <v>4311</v>
      </c>
      <c r="D1049" t="s">
        <v>4311</v>
      </c>
      <c r="E1049" t="s">
        <v>4312</v>
      </c>
      <c r="F1049" t="s">
        <v>4313</v>
      </c>
    </row>
    <row r="1050" spans="1:6" x14ac:dyDescent="0.25">
      <c r="A1050" t="s">
        <v>1679</v>
      </c>
      <c r="B1050" t="str">
        <f>"03054920      "</f>
        <v xml:space="preserve">03054920      </v>
      </c>
      <c r="C1050" t="s">
        <v>4314</v>
      </c>
      <c r="D1050" t="s">
        <v>4314</v>
      </c>
      <c r="E1050" t="s">
        <v>4315</v>
      </c>
      <c r="F1050" t="s">
        <v>4316</v>
      </c>
    </row>
    <row r="1051" spans="1:6" x14ac:dyDescent="0.25">
      <c r="A1051" t="s">
        <v>1679</v>
      </c>
      <c r="B1051" t="str">
        <f>"03054930      "</f>
        <v xml:space="preserve">03054930      </v>
      </c>
      <c r="C1051" t="s">
        <v>4317</v>
      </c>
      <c r="D1051" t="s">
        <v>4317</v>
      </c>
      <c r="E1051" t="s">
        <v>4318</v>
      </c>
      <c r="F1051" t="s">
        <v>4319</v>
      </c>
    </row>
    <row r="1052" spans="1:6" x14ac:dyDescent="0.25">
      <c r="A1052" t="s">
        <v>1679</v>
      </c>
      <c r="B1052" t="str">
        <f>"03054980      "</f>
        <v xml:space="preserve">03054980      </v>
      </c>
      <c r="C1052" t="s">
        <v>4175</v>
      </c>
      <c r="D1052" t="s">
        <v>4175</v>
      </c>
      <c r="E1052" t="s">
        <v>4320</v>
      </c>
      <c r="F1052" t="s">
        <v>4321</v>
      </c>
    </row>
    <row r="1053" spans="1:6" x14ac:dyDescent="0.25">
      <c r="A1053" t="s">
        <v>1679</v>
      </c>
      <c r="B1053" t="str">
        <f>"03055110      "</f>
        <v xml:space="preserve">03055110      </v>
      </c>
      <c r="C1053" t="s">
        <v>4322</v>
      </c>
      <c r="D1053" t="s">
        <v>4322</v>
      </c>
      <c r="E1053" t="s">
        <v>4323</v>
      </c>
      <c r="F1053" t="s">
        <v>4324</v>
      </c>
    </row>
    <row r="1054" spans="1:6" x14ac:dyDescent="0.25">
      <c r="A1054" t="s">
        <v>1679</v>
      </c>
      <c r="B1054" t="str">
        <f>"03055190      "</f>
        <v xml:space="preserve">03055190      </v>
      </c>
      <c r="C1054" t="s">
        <v>4325</v>
      </c>
      <c r="D1054" t="s">
        <v>4325</v>
      </c>
      <c r="E1054" t="s">
        <v>4326</v>
      </c>
      <c r="F1054" t="s">
        <v>4327</v>
      </c>
    </row>
    <row r="1055" spans="1:6" x14ac:dyDescent="0.25">
      <c r="A1055" t="s">
        <v>1679</v>
      </c>
      <c r="B1055" t="str">
        <f>"03055200      "</f>
        <v xml:space="preserve">03055200      </v>
      </c>
      <c r="C1055" t="s">
        <v>4279</v>
      </c>
      <c r="D1055" t="s">
        <v>4279</v>
      </c>
      <c r="E1055" t="s">
        <v>4328</v>
      </c>
      <c r="F1055" t="s">
        <v>4329</v>
      </c>
    </row>
    <row r="1056" spans="1:6" x14ac:dyDescent="0.25">
      <c r="A1056" t="s">
        <v>1679</v>
      </c>
      <c r="B1056" t="str">
        <f>"03055310      "</f>
        <v xml:space="preserve">03055310      </v>
      </c>
      <c r="C1056" t="s">
        <v>4330</v>
      </c>
      <c r="D1056" t="s">
        <v>4330</v>
      </c>
      <c r="E1056" t="s">
        <v>4331</v>
      </c>
      <c r="F1056" t="s">
        <v>4332</v>
      </c>
    </row>
    <row r="1057" spans="1:6" x14ac:dyDescent="0.25">
      <c r="A1057" t="s">
        <v>1679</v>
      </c>
      <c r="B1057" t="str">
        <f>"03055390      "</f>
        <v xml:space="preserve">03055390      </v>
      </c>
      <c r="C1057" t="s">
        <v>4175</v>
      </c>
      <c r="D1057" t="s">
        <v>4175</v>
      </c>
      <c r="E1057" t="s">
        <v>4333</v>
      </c>
      <c r="F1057" t="s">
        <v>4334</v>
      </c>
    </row>
    <row r="1058" spans="1:6" x14ac:dyDescent="0.25">
      <c r="A1058" t="s">
        <v>1679</v>
      </c>
      <c r="B1058" t="str">
        <f>"03055430      "</f>
        <v xml:space="preserve">03055430      </v>
      </c>
      <c r="C1058" t="s">
        <v>4300</v>
      </c>
      <c r="D1058" t="s">
        <v>4300</v>
      </c>
      <c r="E1058" t="s">
        <v>4335</v>
      </c>
      <c r="F1058" t="s">
        <v>4336</v>
      </c>
    </row>
    <row r="1059" spans="1:6" x14ac:dyDescent="0.25">
      <c r="A1059" t="s">
        <v>1679</v>
      </c>
      <c r="B1059" t="str">
        <f>"03055450      "</f>
        <v xml:space="preserve">03055450      </v>
      </c>
      <c r="C1059" t="s">
        <v>4337</v>
      </c>
      <c r="D1059" t="s">
        <v>4337</v>
      </c>
      <c r="E1059" t="s">
        <v>4338</v>
      </c>
      <c r="F1059" t="s">
        <v>4339</v>
      </c>
    </row>
    <row r="1060" spans="1:6" x14ac:dyDescent="0.25">
      <c r="A1060" t="s">
        <v>1679</v>
      </c>
      <c r="B1060" t="str">
        <f>"03055490      "</f>
        <v xml:space="preserve">03055490      </v>
      </c>
      <c r="C1060" t="s">
        <v>4175</v>
      </c>
      <c r="D1060" t="s">
        <v>4175</v>
      </c>
      <c r="E1060" t="s">
        <v>4340</v>
      </c>
      <c r="F1060" t="s">
        <v>4341</v>
      </c>
    </row>
    <row r="1061" spans="1:6" x14ac:dyDescent="0.25">
      <c r="A1061" t="s">
        <v>1679</v>
      </c>
      <c r="B1061" t="str">
        <f>"03055970      "</f>
        <v xml:space="preserve">03055970      </v>
      </c>
      <c r="C1061" t="s">
        <v>4314</v>
      </c>
      <c r="D1061" t="s">
        <v>4314</v>
      </c>
      <c r="E1061" t="s">
        <v>4342</v>
      </c>
      <c r="F1061" t="s">
        <v>4343</v>
      </c>
    </row>
    <row r="1062" spans="1:6" x14ac:dyDescent="0.25">
      <c r="A1062" t="s">
        <v>1679</v>
      </c>
      <c r="B1062" t="str">
        <f>"03055985      "</f>
        <v xml:space="preserve">03055985      </v>
      </c>
      <c r="C1062" t="s">
        <v>4175</v>
      </c>
      <c r="D1062" t="s">
        <v>4175</v>
      </c>
      <c r="E1062" t="s">
        <v>4344</v>
      </c>
      <c r="F1062" t="s">
        <v>4345</v>
      </c>
    </row>
    <row r="1063" spans="1:6" x14ac:dyDescent="0.25">
      <c r="A1063" t="s">
        <v>1679</v>
      </c>
      <c r="B1063" t="str">
        <f>"03056100      "</f>
        <v xml:space="preserve">03056100      </v>
      </c>
      <c r="C1063" t="s">
        <v>4300</v>
      </c>
      <c r="D1063" t="s">
        <v>4300</v>
      </c>
      <c r="E1063" t="s">
        <v>4346</v>
      </c>
      <c r="F1063" t="s">
        <v>4347</v>
      </c>
    </row>
    <row r="1064" spans="1:6" x14ac:dyDescent="0.25">
      <c r="A1064" t="s">
        <v>1679</v>
      </c>
      <c r="B1064" t="str">
        <f>"03056200      "</f>
        <v xml:space="preserve">03056200      </v>
      </c>
      <c r="C1064" t="s">
        <v>4348</v>
      </c>
      <c r="D1064" t="s">
        <v>4348</v>
      </c>
      <c r="E1064" t="s">
        <v>4349</v>
      </c>
      <c r="F1064" t="s">
        <v>4350</v>
      </c>
    </row>
    <row r="1065" spans="1:6" x14ac:dyDescent="0.25">
      <c r="A1065" t="s">
        <v>1679</v>
      </c>
      <c r="B1065" t="str">
        <f>"03056300      "</f>
        <v xml:space="preserve">03056300      </v>
      </c>
      <c r="C1065" t="s">
        <v>4337</v>
      </c>
      <c r="D1065" t="s">
        <v>4337</v>
      </c>
      <c r="E1065" t="s">
        <v>4351</v>
      </c>
      <c r="F1065" t="s">
        <v>4352</v>
      </c>
    </row>
    <row r="1066" spans="1:6" x14ac:dyDescent="0.25">
      <c r="A1066" t="s">
        <v>1679</v>
      </c>
      <c r="B1066" t="str">
        <f>"03056400      "</f>
        <v xml:space="preserve">03056400      </v>
      </c>
      <c r="C1066" t="s">
        <v>4279</v>
      </c>
      <c r="D1066" t="s">
        <v>4279</v>
      </c>
      <c r="E1066" t="s">
        <v>4353</v>
      </c>
      <c r="F1066" t="s">
        <v>4354</v>
      </c>
    </row>
    <row r="1067" spans="1:6" x14ac:dyDescent="0.25">
      <c r="A1067" t="s">
        <v>1679</v>
      </c>
      <c r="B1067" t="str">
        <f>"03056910      "</f>
        <v xml:space="preserve">03056910      </v>
      </c>
      <c r="C1067" t="s">
        <v>4330</v>
      </c>
      <c r="D1067" t="s">
        <v>4330</v>
      </c>
      <c r="E1067" t="s">
        <v>4355</v>
      </c>
      <c r="F1067" t="s">
        <v>4356</v>
      </c>
    </row>
    <row r="1068" spans="1:6" x14ac:dyDescent="0.25">
      <c r="A1068" t="s">
        <v>1679</v>
      </c>
      <c r="B1068" t="str">
        <f>"03056930      "</f>
        <v xml:space="preserve">03056930      </v>
      </c>
      <c r="C1068" t="s">
        <v>4314</v>
      </c>
      <c r="D1068" t="s">
        <v>4314</v>
      </c>
      <c r="E1068" t="s">
        <v>4357</v>
      </c>
      <c r="F1068" t="s">
        <v>4358</v>
      </c>
    </row>
    <row r="1069" spans="1:6" x14ac:dyDescent="0.25">
      <c r="A1069" t="s">
        <v>1679</v>
      </c>
      <c r="B1069" t="str">
        <f>"03056950      "</f>
        <v xml:space="preserve">03056950      </v>
      </c>
      <c r="C1069" t="s">
        <v>4297</v>
      </c>
      <c r="D1069" t="s">
        <v>4297</v>
      </c>
      <c r="E1069" t="s">
        <v>4359</v>
      </c>
      <c r="F1069" t="s">
        <v>4360</v>
      </c>
    </row>
    <row r="1070" spans="1:6" x14ac:dyDescent="0.25">
      <c r="A1070" t="s">
        <v>1679</v>
      </c>
      <c r="B1070" t="str">
        <f>"03056980      "</f>
        <v xml:space="preserve">03056980      </v>
      </c>
      <c r="C1070" t="s">
        <v>4175</v>
      </c>
      <c r="D1070" t="s">
        <v>4175</v>
      </c>
      <c r="E1070" t="s">
        <v>4361</v>
      </c>
      <c r="F1070" t="s">
        <v>4362</v>
      </c>
    </row>
    <row r="1071" spans="1:6" x14ac:dyDescent="0.25">
      <c r="A1071" t="s">
        <v>1679</v>
      </c>
      <c r="B1071" t="str">
        <f>"03057100      "</f>
        <v xml:space="preserve">03057100      </v>
      </c>
      <c r="C1071" t="s">
        <v>4363</v>
      </c>
      <c r="D1071" t="s">
        <v>4363</v>
      </c>
      <c r="E1071" t="s">
        <v>4364</v>
      </c>
      <c r="F1071" t="s">
        <v>4365</v>
      </c>
    </row>
    <row r="1072" spans="1:6" x14ac:dyDescent="0.25">
      <c r="A1072" t="s">
        <v>1679</v>
      </c>
      <c r="B1072" t="str">
        <f>"03057200      "</f>
        <v xml:space="preserve">03057200      </v>
      </c>
      <c r="C1072" t="s">
        <v>4366</v>
      </c>
      <c r="D1072" t="s">
        <v>4366</v>
      </c>
      <c r="E1072" t="s">
        <v>4367</v>
      </c>
      <c r="F1072" t="s">
        <v>4368</v>
      </c>
    </row>
    <row r="1073" spans="1:6" x14ac:dyDescent="0.25">
      <c r="A1073" t="s">
        <v>1679</v>
      </c>
      <c r="B1073" t="str">
        <f>"03057900      "</f>
        <v xml:space="preserve">03057900      </v>
      </c>
      <c r="C1073" t="s">
        <v>4175</v>
      </c>
      <c r="D1073" t="s">
        <v>4175</v>
      </c>
      <c r="E1073" t="s">
        <v>4369</v>
      </c>
      <c r="F1073" t="s">
        <v>4370</v>
      </c>
    </row>
    <row r="1074" spans="1:6" x14ac:dyDescent="0.25">
      <c r="A1074" t="s">
        <v>1679</v>
      </c>
      <c r="B1074" t="str">
        <f>"03061110      "</f>
        <v xml:space="preserve">03061110      </v>
      </c>
      <c r="C1074" t="s">
        <v>4371</v>
      </c>
      <c r="D1074" t="s">
        <v>4371</v>
      </c>
      <c r="E1074" t="s">
        <v>4372</v>
      </c>
      <c r="F1074" t="s">
        <v>4373</v>
      </c>
    </row>
    <row r="1075" spans="1:6" x14ac:dyDescent="0.25">
      <c r="A1075" t="s">
        <v>1679</v>
      </c>
      <c r="B1075" t="str">
        <f>"03061190      "</f>
        <v xml:space="preserve">03061190      </v>
      </c>
      <c r="C1075" t="s">
        <v>4175</v>
      </c>
      <c r="D1075" t="s">
        <v>4175</v>
      </c>
      <c r="E1075" t="s">
        <v>4374</v>
      </c>
      <c r="F1075" t="s">
        <v>4375</v>
      </c>
    </row>
    <row r="1076" spans="1:6" x14ac:dyDescent="0.25">
      <c r="A1076" t="s">
        <v>1679</v>
      </c>
      <c r="B1076" t="str">
        <f>"03061210      "</f>
        <v xml:space="preserve">03061210      </v>
      </c>
      <c r="C1076" t="s">
        <v>4376</v>
      </c>
      <c r="D1076" t="s">
        <v>4376</v>
      </c>
      <c r="E1076" t="s">
        <v>4377</v>
      </c>
      <c r="F1076" t="s">
        <v>4378</v>
      </c>
    </row>
    <row r="1077" spans="1:6" x14ac:dyDescent="0.25">
      <c r="A1077" t="s">
        <v>1679</v>
      </c>
      <c r="B1077" t="str">
        <f>"03061290      "</f>
        <v xml:space="preserve">03061290      </v>
      </c>
      <c r="C1077" t="s">
        <v>4175</v>
      </c>
      <c r="D1077" t="s">
        <v>4175</v>
      </c>
      <c r="E1077" t="s">
        <v>4379</v>
      </c>
      <c r="F1077" t="s">
        <v>4380</v>
      </c>
    </row>
    <row r="1078" spans="1:6" x14ac:dyDescent="0.25">
      <c r="A1078" t="s">
        <v>1679</v>
      </c>
      <c r="B1078" t="str">
        <f>"03061410      "</f>
        <v xml:space="preserve">03061410      </v>
      </c>
      <c r="C1078" t="s">
        <v>4381</v>
      </c>
      <c r="D1078" t="s">
        <v>4381</v>
      </c>
      <c r="E1078" t="s">
        <v>4382</v>
      </c>
      <c r="F1078" t="s">
        <v>4383</v>
      </c>
    </row>
    <row r="1079" spans="1:6" x14ac:dyDescent="0.25">
      <c r="A1079" t="s">
        <v>1679</v>
      </c>
      <c r="B1079" t="str">
        <f>"03061430      "</f>
        <v xml:space="preserve">03061430      </v>
      </c>
      <c r="C1079" t="s">
        <v>4384</v>
      </c>
      <c r="D1079" t="s">
        <v>4384</v>
      </c>
      <c r="E1079" t="s">
        <v>4385</v>
      </c>
      <c r="F1079" t="s">
        <v>4386</v>
      </c>
    </row>
    <row r="1080" spans="1:6" x14ac:dyDescent="0.25">
      <c r="A1080" t="s">
        <v>1679</v>
      </c>
      <c r="B1080" t="str">
        <f>"03061490      "</f>
        <v xml:space="preserve">03061490      </v>
      </c>
      <c r="C1080" t="s">
        <v>4175</v>
      </c>
      <c r="D1080" t="s">
        <v>4175</v>
      </c>
      <c r="E1080" t="s">
        <v>4387</v>
      </c>
      <c r="F1080" t="s">
        <v>4388</v>
      </c>
    </row>
    <row r="1081" spans="1:6" x14ac:dyDescent="0.25">
      <c r="A1081" t="s">
        <v>1679</v>
      </c>
      <c r="B1081" t="str">
        <f>"03061500      "</f>
        <v xml:space="preserve">03061500      </v>
      </c>
      <c r="C1081" t="s">
        <v>4389</v>
      </c>
      <c r="D1081" t="s">
        <v>4389</v>
      </c>
      <c r="E1081" t="s">
        <v>4390</v>
      </c>
      <c r="F1081" t="s">
        <v>4391</v>
      </c>
    </row>
    <row r="1082" spans="1:6" x14ac:dyDescent="0.25">
      <c r="A1082" t="s">
        <v>1679</v>
      </c>
      <c r="B1082" t="str">
        <f>"03061691      "</f>
        <v xml:space="preserve">03061691      </v>
      </c>
      <c r="C1082" t="s">
        <v>4392</v>
      </c>
      <c r="D1082" t="s">
        <v>4392</v>
      </c>
      <c r="E1082" t="s">
        <v>4393</v>
      </c>
      <c r="F1082" t="s">
        <v>4394</v>
      </c>
    </row>
    <row r="1083" spans="1:6" x14ac:dyDescent="0.25">
      <c r="A1083" t="s">
        <v>1679</v>
      </c>
      <c r="B1083" t="str">
        <f>"03061699      "</f>
        <v xml:space="preserve">03061699      </v>
      </c>
      <c r="C1083" t="s">
        <v>4175</v>
      </c>
      <c r="D1083" t="s">
        <v>4175</v>
      </c>
      <c r="E1083" t="s">
        <v>4395</v>
      </c>
      <c r="F1083" t="s">
        <v>4396</v>
      </c>
    </row>
    <row r="1084" spans="1:6" x14ac:dyDescent="0.25">
      <c r="A1084" t="s">
        <v>1679</v>
      </c>
      <c r="B1084" t="str">
        <f>"03061791      "</f>
        <v xml:space="preserve">03061791      </v>
      </c>
      <c r="C1084" t="s">
        <v>4397</v>
      </c>
      <c r="D1084" t="s">
        <v>4397</v>
      </c>
      <c r="E1084" t="s">
        <v>4398</v>
      </c>
      <c r="F1084" t="s">
        <v>4399</v>
      </c>
    </row>
    <row r="1085" spans="1:6" x14ac:dyDescent="0.25">
      <c r="A1085" t="s">
        <v>1679</v>
      </c>
      <c r="B1085" t="str">
        <f>"03061792      "</f>
        <v xml:space="preserve">03061792      </v>
      </c>
      <c r="C1085" t="s">
        <v>4400</v>
      </c>
      <c r="D1085" t="s">
        <v>4400</v>
      </c>
      <c r="E1085" t="s">
        <v>4401</v>
      </c>
      <c r="F1085" t="s">
        <v>4402</v>
      </c>
    </row>
    <row r="1086" spans="1:6" x14ac:dyDescent="0.25">
      <c r="A1086" t="s">
        <v>1679</v>
      </c>
      <c r="B1086" t="str">
        <f>"03061793      "</f>
        <v xml:space="preserve">03061793      </v>
      </c>
      <c r="C1086" t="s">
        <v>4403</v>
      </c>
      <c r="D1086" t="s">
        <v>4403</v>
      </c>
      <c r="E1086" t="s">
        <v>4404</v>
      </c>
      <c r="F1086" t="s">
        <v>4405</v>
      </c>
    </row>
    <row r="1087" spans="1:6" x14ac:dyDescent="0.25">
      <c r="A1087" t="s">
        <v>1679</v>
      </c>
      <c r="B1087" t="str">
        <f>"03061794      "</f>
        <v xml:space="preserve">03061794      </v>
      </c>
      <c r="C1087" t="s">
        <v>4406</v>
      </c>
      <c r="D1087" t="s">
        <v>4406</v>
      </c>
      <c r="E1087" t="s">
        <v>4407</v>
      </c>
      <c r="F1087" t="s">
        <v>4408</v>
      </c>
    </row>
    <row r="1088" spans="1:6" x14ac:dyDescent="0.25">
      <c r="A1088" t="s">
        <v>1679</v>
      </c>
      <c r="B1088" t="str">
        <f>"03061799      "</f>
        <v xml:space="preserve">03061799      </v>
      </c>
      <c r="C1088" t="s">
        <v>4175</v>
      </c>
      <c r="D1088" t="s">
        <v>4175</v>
      </c>
      <c r="E1088" t="s">
        <v>4409</v>
      </c>
      <c r="F1088" t="s">
        <v>4410</v>
      </c>
    </row>
    <row r="1089" spans="1:6" x14ac:dyDescent="0.25">
      <c r="A1089" t="s">
        <v>1679</v>
      </c>
      <c r="B1089" t="str">
        <f>"03061910      "</f>
        <v xml:space="preserve">03061910      </v>
      </c>
      <c r="C1089" t="s">
        <v>4411</v>
      </c>
      <c r="D1089" t="s">
        <v>4411</v>
      </c>
      <c r="E1089" t="s">
        <v>4412</v>
      </c>
      <c r="F1089" t="s">
        <v>4413</v>
      </c>
    </row>
    <row r="1090" spans="1:6" x14ac:dyDescent="0.25">
      <c r="A1090" t="s">
        <v>1679</v>
      </c>
      <c r="B1090" t="str">
        <f>"03061990      "</f>
        <v xml:space="preserve">03061990      </v>
      </c>
      <c r="C1090" t="s">
        <v>4175</v>
      </c>
      <c r="D1090" t="s">
        <v>4175</v>
      </c>
      <c r="E1090" t="s">
        <v>4414</v>
      </c>
      <c r="F1090" t="s">
        <v>4415</v>
      </c>
    </row>
    <row r="1091" spans="1:6" x14ac:dyDescent="0.25">
      <c r="A1091" t="s">
        <v>1679</v>
      </c>
      <c r="B1091" t="str">
        <f>"03063100      "</f>
        <v xml:space="preserve">03063100      </v>
      </c>
      <c r="C1091" t="s">
        <v>4416</v>
      </c>
      <c r="D1091" t="s">
        <v>4416</v>
      </c>
      <c r="E1091" t="s">
        <v>4417</v>
      </c>
      <c r="F1091" t="s">
        <v>4418</v>
      </c>
    </row>
    <row r="1092" spans="1:6" x14ac:dyDescent="0.25">
      <c r="A1092" t="s">
        <v>1679</v>
      </c>
      <c r="B1092" t="str">
        <f>"03063210      "</f>
        <v xml:space="preserve">03063210      </v>
      </c>
      <c r="C1092" t="s">
        <v>4419</v>
      </c>
      <c r="D1092" t="s">
        <v>4419</v>
      </c>
      <c r="E1092" t="s">
        <v>4420</v>
      </c>
      <c r="F1092" t="s">
        <v>4421</v>
      </c>
    </row>
    <row r="1093" spans="1:6" x14ac:dyDescent="0.25">
      <c r="A1093" t="s">
        <v>1679</v>
      </c>
      <c r="B1093" t="str">
        <f>"03063291      "</f>
        <v xml:space="preserve">03063291      </v>
      </c>
      <c r="C1093" t="s">
        <v>4376</v>
      </c>
      <c r="D1093" t="s">
        <v>4376</v>
      </c>
      <c r="E1093" t="s">
        <v>4422</v>
      </c>
      <c r="F1093" t="s">
        <v>4423</v>
      </c>
    </row>
    <row r="1094" spans="1:6" x14ac:dyDescent="0.25">
      <c r="A1094" t="s">
        <v>1679</v>
      </c>
      <c r="B1094" t="str">
        <f>"03063299      "</f>
        <v xml:space="preserve">03063299      </v>
      </c>
      <c r="C1094" t="s">
        <v>4175</v>
      </c>
      <c r="D1094" t="s">
        <v>4175</v>
      </c>
      <c r="E1094" t="s">
        <v>4424</v>
      </c>
      <c r="F1094" t="s">
        <v>4425</v>
      </c>
    </row>
    <row r="1095" spans="1:6" x14ac:dyDescent="0.25">
      <c r="A1095" t="s">
        <v>1679</v>
      </c>
      <c r="B1095" t="str">
        <f>"03063310      "</f>
        <v xml:space="preserve">03063310      </v>
      </c>
      <c r="C1095" t="s">
        <v>4426</v>
      </c>
      <c r="D1095" t="s">
        <v>4426</v>
      </c>
      <c r="E1095" t="s">
        <v>4427</v>
      </c>
      <c r="F1095" t="s">
        <v>4428</v>
      </c>
    </row>
    <row r="1096" spans="1:6" x14ac:dyDescent="0.25">
      <c r="A1096" t="s">
        <v>1679</v>
      </c>
      <c r="B1096" t="str">
        <f>"03063390      "</f>
        <v xml:space="preserve">03063390      </v>
      </c>
      <c r="C1096" t="s">
        <v>4175</v>
      </c>
      <c r="D1096" t="s">
        <v>4175</v>
      </c>
      <c r="E1096" t="s">
        <v>4429</v>
      </c>
      <c r="F1096" t="s">
        <v>4430</v>
      </c>
    </row>
    <row r="1097" spans="1:6" x14ac:dyDescent="0.25">
      <c r="A1097" t="s">
        <v>1679</v>
      </c>
      <c r="B1097" t="str">
        <f>"03063400      "</f>
        <v xml:space="preserve">03063400      </v>
      </c>
      <c r="C1097" t="s">
        <v>4389</v>
      </c>
      <c r="D1097" t="s">
        <v>4389</v>
      </c>
      <c r="E1097" t="s">
        <v>4431</v>
      </c>
      <c r="F1097" t="s">
        <v>4432</v>
      </c>
    </row>
    <row r="1098" spans="1:6" x14ac:dyDescent="0.25">
      <c r="A1098" t="s">
        <v>1679</v>
      </c>
      <c r="B1098" t="str">
        <f>"03063510      "</f>
        <v xml:space="preserve">03063510      </v>
      </c>
      <c r="C1098" t="s">
        <v>4433</v>
      </c>
      <c r="D1098" t="s">
        <v>4433</v>
      </c>
      <c r="E1098" t="s">
        <v>4434</v>
      </c>
      <c r="F1098" t="s">
        <v>4435</v>
      </c>
    </row>
    <row r="1099" spans="1:6" x14ac:dyDescent="0.25">
      <c r="A1099" t="s">
        <v>1679</v>
      </c>
      <c r="B1099" t="str">
        <f>"03063550      "</f>
        <v xml:space="preserve">03063550      </v>
      </c>
      <c r="C1099" t="s">
        <v>4175</v>
      </c>
      <c r="D1099" t="s">
        <v>4175</v>
      </c>
      <c r="E1099" t="s">
        <v>4436</v>
      </c>
      <c r="F1099" t="s">
        <v>4437</v>
      </c>
    </row>
    <row r="1100" spans="1:6" x14ac:dyDescent="0.25">
      <c r="A1100" t="s">
        <v>1679</v>
      </c>
      <c r="B1100" t="str">
        <f>"03063590      "</f>
        <v xml:space="preserve">03063590      </v>
      </c>
      <c r="C1100" t="s">
        <v>4175</v>
      </c>
      <c r="D1100" t="s">
        <v>4175</v>
      </c>
      <c r="E1100" t="s">
        <v>4438</v>
      </c>
      <c r="F1100" t="s">
        <v>4439</v>
      </c>
    </row>
    <row r="1101" spans="1:6" x14ac:dyDescent="0.25">
      <c r="A1101" t="s">
        <v>1679</v>
      </c>
      <c r="B1101" t="str">
        <f>"03063610      "</f>
        <v xml:space="preserve">03063610      </v>
      </c>
      <c r="C1101" t="s">
        <v>4403</v>
      </c>
      <c r="D1101" t="s">
        <v>4403</v>
      </c>
      <c r="E1101" t="s">
        <v>4440</v>
      </c>
      <c r="F1101" t="s">
        <v>4441</v>
      </c>
    </row>
    <row r="1102" spans="1:6" x14ac:dyDescent="0.25">
      <c r="A1102" t="s">
        <v>1679</v>
      </c>
      <c r="B1102" t="str">
        <f>"03063650      "</f>
        <v xml:space="preserve">03063650      </v>
      </c>
      <c r="C1102" t="s">
        <v>4406</v>
      </c>
      <c r="D1102" t="s">
        <v>4406</v>
      </c>
      <c r="E1102" t="s">
        <v>4442</v>
      </c>
      <c r="F1102" t="s">
        <v>4443</v>
      </c>
    </row>
    <row r="1103" spans="1:6" x14ac:dyDescent="0.25">
      <c r="A1103" t="s">
        <v>1679</v>
      </c>
      <c r="B1103" t="str">
        <f>"03063690      "</f>
        <v xml:space="preserve">03063690      </v>
      </c>
      <c r="C1103" t="s">
        <v>4175</v>
      </c>
      <c r="D1103" t="s">
        <v>4175</v>
      </c>
      <c r="E1103" t="s">
        <v>4444</v>
      </c>
      <c r="F1103" t="s">
        <v>4445</v>
      </c>
    </row>
    <row r="1104" spans="1:6" x14ac:dyDescent="0.25">
      <c r="A1104" t="s">
        <v>1679</v>
      </c>
      <c r="B1104" t="str">
        <f>"03063910      "</f>
        <v xml:space="preserve">03063910      </v>
      </c>
      <c r="C1104" t="s">
        <v>4411</v>
      </c>
      <c r="D1104" t="s">
        <v>4411</v>
      </c>
      <c r="E1104" t="s">
        <v>4446</v>
      </c>
      <c r="F1104" t="s">
        <v>4447</v>
      </c>
    </row>
    <row r="1105" spans="1:6" x14ac:dyDescent="0.25">
      <c r="A1105" t="s">
        <v>1679</v>
      </c>
      <c r="B1105" t="str">
        <f>"03063990      "</f>
        <v xml:space="preserve">03063990      </v>
      </c>
      <c r="C1105" t="s">
        <v>4175</v>
      </c>
      <c r="D1105" t="s">
        <v>4175</v>
      </c>
      <c r="E1105" t="s">
        <v>4448</v>
      </c>
      <c r="F1105" t="s">
        <v>4449</v>
      </c>
    </row>
    <row r="1106" spans="1:6" x14ac:dyDescent="0.25">
      <c r="A1106" t="s">
        <v>1679</v>
      </c>
      <c r="B1106" t="str">
        <f>"03069100      "</f>
        <v xml:space="preserve">03069100      </v>
      </c>
      <c r="C1106" t="s">
        <v>4416</v>
      </c>
      <c r="D1106" t="s">
        <v>4416</v>
      </c>
      <c r="E1106" t="s">
        <v>4450</v>
      </c>
      <c r="F1106" t="s">
        <v>4451</v>
      </c>
    </row>
    <row r="1107" spans="1:6" x14ac:dyDescent="0.25">
      <c r="A1107" t="s">
        <v>1679</v>
      </c>
      <c r="B1107" t="str">
        <f>"03069210      "</f>
        <v xml:space="preserve">03069210      </v>
      </c>
      <c r="C1107" t="s">
        <v>4376</v>
      </c>
      <c r="D1107" t="s">
        <v>4376</v>
      </c>
      <c r="E1107" t="s">
        <v>4452</v>
      </c>
      <c r="F1107" t="s">
        <v>4453</v>
      </c>
    </row>
    <row r="1108" spans="1:6" x14ac:dyDescent="0.25">
      <c r="A1108" t="s">
        <v>1679</v>
      </c>
      <c r="B1108" t="str">
        <f>"03069290      "</f>
        <v xml:space="preserve">03069290      </v>
      </c>
      <c r="C1108" t="s">
        <v>4175</v>
      </c>
      <c r="D1108" t="s">
        <v>4175</v>
      </c>
      <c r="E1108" t="s">
        <v>4454</v>
      </c>
      <c r="F1108" t="s">
        <v>4455</v>
      </c>
    </row>
    <row r="1109" spans="1:6" x14ac:dyDescent="0.25">
      <c r="A1109" t="s">
        <v>1679</v>
      </c>
      <c r="B1109" t="str">
        <f>"03069310      "</f>
        <v xml:space="preserve">03069310      </v>
      </c>
      <c r="C1109" t="s">
        <v>4426</v>
      </c>
      <c r="D1109" t="s">
        <v>4426</v>
      </c>
      <c r="E1109" t="s">
        <v>4456</v>
      </c>
      <c r="F1109" t="s">
        <v>4457</v>
      </c>
    </row>
    <row r="1110" spans="1:6" x14ac:dyDescent="0.25">
      <c r="A1110" t="s">
        <v>1679</v>
      </c>
      <c r="B1110" t="str">
        <f>"03069390      "</f>
        <v xml:space="preserve">03069390      </v>
      </c>
      <c r="C1110" t="s">
        <v>4175</v>
      </c>
      <c r="D1110" t="s">
        <v>4175</v>
      </c>
      <c r="E1110" t="s">
        <v>4458</v>
      </c>
      <c r="F1110" t="s">
        <v>4459</v>
      </c>
    </row>
    <row r="1111" spans="1:6" x14ac:dyDescent="0.25">
      <c r="A1111" t="s">
        <v>1679</v>
      </c>
      <c r="B1111" t="str">
        <f>"03069400      "</f>
        <v xml:space="preserve">03069400      </v>
      </c>
      <c r="C1111" t="s">
        <v>4389</v>
      </c>
      <c r="D1111" t="s">
        <v>4389</v>
      </c>
      <c r="E1111" t="s">
        <v>4460</v>
      </c>
      <c r="F1111" t="s">
        <v>4461</v>
      </c>
    </row>
    <row r="1112" spans="1:6" x14ac:dyDescent="0.25">
      <c r="A1112" t="s">
        <v>1679</v>
      </c>
      <c r="B1112" t="str">
        <f>"03069511      "</f>
        <v xml:space="preserve">03069511      </v>
      </c>
      <c r="C1112" t="s">
        <v>4462</v>
      </c>
      <c r="D1112" t="s">
        <v>4462</v>
      </c>
      <c r="E1112" t="s">
        <v>4463</v>
      </c>
      <c r="F1112" t="s">
        <v>4464</v>
      </c>
    </row>
    <row r="1113" spans="1:6" x14ac:dyDescent="0.25">
      <c r="A1113" t="s">
        <v>1679</v>
      </c>
      <c r="B1113" t="str">
        <f>"03069519      "</f>
        <v xml:space="preserve">03069519      </v>
      </c>
      <c r="C1113" t="s">
        <v>4175</v>
      </c>
      <c r="D1113" t="s">
        <v>4175</v>
      </c>
      <c r="E1113" t="s">
        <v>4465</v>
      </c>
      <c r="F1113" t="s">
        <v>4466</v>
      </c>
    </row>
    <row r="1114" spans="1:6" x14ac:dyDescent="0.25">
      <c r="A1114" t="s">
        <v>1679</v>
      </c>
      <c r="B1114" t="str">
        <f>"03069520      "</f>
        <v xml:space="preserve">03069520      </v>
      </c>
      <c r="C1114" t="s">
        <v>4467</v>
      </c>
      <c r="D1114" t="s">
        <v>4467</v>
      </c>
      <c r="E1114" t="s">
        <v>4468</v>
      </c>
      <c r="F1114" t="s">
        <v>4469</v>
      </c>
    </row>
    <row r="1115" spans="1:6" x14ac:dyDescent="0.25">
      <c r="A1115" t="s">
        <v>1679</v>
      </c>
      <c r="B1115" t="str">
        <f>"03069530      "</f>
        <v xml:space="preserve">03069530      </v>
      </c>
      <c r="C1115" t="s">
        <v>4403</v>
      </c>
      <c r="D1115" t="s">
        <v>4403</v>
      </c>
      <c r="E1115" t="s">
        <v>4470</v>
      </c>
      <c r="F1115" t="s">
        <v>4471</v>
      </c>
    </row>
    <row r="1116" spans="1:6" x14ac:dyDescent="0.25">
      <c r="A1116" t="s">
        <v>1679</v>
      </c>
      <c r="B1116" t="str">
        <f>"03069540      "</f>
        <v xml:space="preserve">03069540      </v>
      </c>
      <c r="C1116" t="s">
        <v>4406</v>
      </c>
      <c r="D1116" t="s">
        <v>4406</v>
      </c>
      <c r="E1116" t="s">
        <v>4472</v>
      </c>
      <c r="F1116" t="s">
        <v>4473</v>
      </c>
    </row>
    <row r="1117" spans="1:6" x14ac:dyDescent="0.25">
      <c r="A1117" t="s">
        <v>1679</v>
      </c>
      <c r="B1117" t="str">
        <f>"03069590      "</f>
        <v xml:space="preserve">03069590      </v>
      </c>
      <c r="C1117" t="s">
        <v>4175</v>
      </c>
      <c r="D1117" t="s">
        <v>4175</v>
      </c>
      <c r="E1117" t="s">
        <v>4474</v>
      </c>
      <c r="F1117" t="s">
        <v>4475</v>
      </c>
    </row>
    <row r="1118" spans="1:6" x14ac:dyDescent="0.25">
      <c r="A1118" t="s">
        <v>1679</v>
      </c>
      <c r="B1118" t="str">
        <f>"03069910      "</f>
        <v xml:space="preserve">03069910      </v>
      </c>
      <c r="C1118" t="s">
        <v>4476</v>
      </c>
      <c r="D1118" t="s">
        <v>4476</v>
      </c>
      <c r="E1118" t="s">
        <v>4477</v>
      </c>
      <c r="F1118" t="s">
        <v>4478</v>
      </c>
    </row>
    <row r="1119" spans="1:6" x14ac:dyDescent="0.25">
      <c r="A1119" t="s">
        <v>1679</v>
      </c>
      <c r="B1119" t="str">
        <f>"03069990      "</f>
        <v xml:space="preserve">03069990      </v>
      </c>
      <c r="C1119" t="s">
        <v>4175</v>
      </c>
      <c r="D1119" t="s">
        <v>4175</v>
      </c>
      <c r="E1119" t="s">
        <v>4479</v>
      </c>
      <c r="F1119" t="s">
        <v>4480</v>
      </c>
    </row>
    <row r="1120" spans="1:6" x14ac:dyDescent="0.25">
      <c r="A1120" t="s">
        <v>1679</v>
      </c>
      <c r="B1120" t="str">
        <f>"03071110      "</f>
        <v xml:space="preserve">03071110      </v>
      </c>
      <c r="C1120" t="s">
        <v>4481</v>
      </c>
      <c r="D1120" t="s">
        <v>4481</v>
      </c>
      <c r="E1120" t="s">
        <v>4482</v>
      </c>
      <c r="F1120" t="s">
        <v>4483</v>
      </c>
    </row>
    <row r="1121" spans="1:6" x14ac:dyDescent="0.25">
      <c r="A1121" t="s">
        <v>1679</v>
      </c>
      <c r="B1121" t="str">
        <f>"03071190      "</f>
        <v xml:space="preserve">03071190      </v>
      </c>
      <c r="C1121" t="s">
        <v>4175</v>
      </c>
      <c r="D1121" t="s">
        <v>4175</v>
      </c>
      <c r="E1121" t="s">
        <v>4484</v>
      </c>
      <c r="F1121" t="s">
        <v>4485</v>
      </c>
    </row>
    <row r="1122" spans="1:6" x14ac:dyDescent="0.25">
      <c r="A1122" t="s">
        <v>1679</v>
      </c>
      <c r="B1122" t="str">
        <f>"03071200      "</f>
        <v xml:space="preserve">03071200      </v>
      </c>
      <c r="C1122" t="s">
        <v>4486</v>
      </c>
      <c r="D1122" t="s">
        <v>4486</v>
      </c>
      <c r="E1122" t="s">
        <v>4487</v>
      </c>
      <c r="F1122" t="s">
        <v>4488</v>
      </c>
    </row>
    <row r="1123" spans="1:6" x14ac:dyDescent="0.25">
      <c r="A1123" t="s">
        <v>1679</v>
      </c>
      <c r="B1123" t="str">
        <f>"03071900      "</f>
        <v xml:space="preserve">03071900      </v>
      </c>
      <c r="C1123" t="s">
        <v>4175</v>
      </c>
      <c r="D1123" t="s">
        <v>4175</v>
      </c>
      <c r="E1123" t="s">
        <v>4489</v>
      </c>
      <c r="F1123" t="s">
        <v>4490</v>
      </c>
    </row>
    <row r="1124" spans="1:6" x14ac:dyDescent="0.25">
      <c r="A1124" t="s">
        <v>1679</v>
      </c>
      <c r="B1124" t="str">
        <f>"03072210      "</f>
        <v xml:space="preserve">03072210      </v>
      </c>
      <c r="C1124" t="s">
        <v>1976</v>
      </c>
      <c r="D1124" t="s">
        <v>4491</v>
      </c>
      <c r="E1124" t="s">
        <v>4492</v>
      </c>
      <c r="F1124" t="s">
        <v>4493</v>
      </c>
    </row>
    <row r="1125" spans="1:6" x14ac:dyDescent="0.25">
      <c r="A1125" t="s">
        <v>1679</v>
      </c>
      <c r="B1125" t="str">
        <f>"03072290      "</f>
        <v xml:space="preserve">03072290      </v>
      </c>
      <c r="C1125" t="s">
        <v>4175</v>
      </c>
      <c r="D1125" t="s">
        <v>4175</v>
      </c>
      <c r="E1125" t="s">
        <v>4494</v>
      </c>
      <c r="F1125" t="s">
        <v>4495</v>
      </c>
    </row>
    <row r="1126" spans="1:6" x14ac:dyDescent="0.25">
      <c r="A1126" t="s">
        <v>1679</v>
      </c>
      <c r="B1126" t="str">
        <f>"03073110      "</f>
        <v xml:space="preserve">03073110      </v>
      </c>
      <c r="C1126" t="s">
        <v>1981</v>
      </c>
      <c r="D1126" t="s">
        <v>1981</v>
      </c>
      <c r="E1126" t="s">
        <v>4496</v>
      </c>
      <c r="F1126" t="s">
        <v>4497</v>
      </c>
    </row>
    <row r="1127" spans="1:6" x14ac:dyDescent="0.25">
      <c r="A1127" t="s">
        <v>1679</v>
      </c>
      <c r="B1127" t="str">
        <f>"03073190      "</f>
        <v xml:space="preserve">03073190      </v>
      </c>
      <c r="C1127" t="s">
        <v>1984</v>
      </c>
      <c r="D1127" t="s">
        <v>1984</v>
      </c>
      <c r="E1127" t="s">
        <v>4498</v>
      </c>
      <c r="F1127" t="s">
        <v>4499</v>
      </c>
    </row>
    <row r="1128" spans="1:6" x14ac:dyDescent="0.25">
      <c r="A1128" t="s">
        <v>1679</v>
      </c>
      <c r="B1128" t="str">
        <f>"03073210      "</f>
        <v xml:space="preserve">03073210      </v>
      </c>
      <c r="C1128" t="s">
        <v>1981</v>
      </c>
      <c r="D1128" t="s">
        <v>1981</v>
      </c>
      <c r="E1128" t="s">
        <v>4500</v>
      </c>
      <c r="F1128" t="s">
        <v>4501</v>
      </c>
    </row>
    <row r="1129" spans="1:6" x14ac:dyDescent="0.25">
      <c r="A1129" t="s">
        <v>1679</v>
      </c>
      <c r="B1129" t="str">
        <f>"03073290      "</f>
        <v xml:space="preserve">03073290      </v>
      </c>
      <c r="C1129" t="s">
        <v>1984</v>
      </c>
      <c r="D1129" t="s">
        <v>1984</v>
      </c>
      <c r="E1129" t="s">
        <v>4502</v>
      </c>
      <c r="F1129" t="s">
        <v>4503</v>
      </c>
    </row>
    <row r="1130" spans="1:6" x14ac:dyDescent="0.25">
      <c r="A1130" t="s">
        <v>1679</v>
      </c>
      <c r="B1130" t="str">
        <f>"03073920      "</f>
        <v xml:space="preserve">03073920      </v>
      </c>
      <c r="C1130" t="s">
        <v>1981</v>
      </c>
      <c r="D1130" t="s">
        <v>1981</v>
      </c>
      <c r="E1130" t="s">
        <v>4504</v>
      </c>
      <c r="F1130" t="s">
        <v>4505</v>
      </c>
    </row>
    <row r="1131" spans="1:6" x14ac:dyDescent="0.25">
      <c r="A1131" t="s">
        <v>1679</v>
      </c>
      <c r="B1131" t="str">
        <f>"03073980      "</f>
        <v xml:space="preserve">03073980      </v>
      </c>
      <c r="C1131" t="s">
        <v>1984</v>
      </c>
      <c r="D1131" t="s">
        <v>1984</v>
      </c>
      <c r="E1131" t="s">
        <v>4506</v>
      </c>
      <c r="F1131" t="s">
        <v>4507</v>
      </c>
    </row>
    <row r="1132" spans="1:6" x14ac:dyDescent="0.25">
      <c r="A1132" t="s">
        <v>1679</v>
      </c>
      <c r="B1132" t="str">
        <f>"03074210      "</f>
        <v xml:space="preserve">03074210      </v>
      </c>
      <c r="C1132" t="s">
        <v>4508</v>
      </c>
      <c r="D1132" t="s">
        <v>4508</v>
      </c>
      <c r="E1132" t="s">
        <v>4509</v>
      </c>
      <c r="F1132" t="s">
        <v>4510</v>
      </c>
    </row>
    <row r="1133" spans="1:6" x14ac:dyDescent="0.25">
      <c r="A1133" t="s">
        <v>1679</v>
      </c>
      <c r="B1133" t="str">
        <f>"03074220      "</f>
        <v xml:space="preserve">03074220      </v>
      </c>
      <c r="C1133" t="s">
        <v>1998</v>
      </c>
      <c r="D1133" t="s">
        <v>1998</v>
      </c>
      <c r="E1133" t="s">
        <v>4511</v>
      </c>
      <c r="F1133" t="s">
        <v>4512</v>
      </c>
    </row>
    <row r="1134" spans="1:6" x14ac:dyDescent="0.25">
      <c r="A1134" t="s">
        <v>1679</v>
      </c>
      <c r="B1134" t="str">
        <f>"03074230      "</f>
        <v xml:space="preserve">03074230      </v>
      </c>
      <c r="C1134" t="s">
        <v>4513</v>
      </c>
      <c r="D1134" t="s">
        <v>4513</v>
      </c>
      <c r="E1134" t="s">
        <v>4514</v>
      </c>
      <c r="F1134" t="s">
        <v>4515</v>
      </c>
    </row>
    <row r="1135" spans="1:6" x14ac:dyDescent="0.25">
      <c r="A1135" t="s">
        <v>1679</v>
      </c>
      <c r="B1135" t="str">
        <f>"03074240      "</f>
        <v xml:space="preserve">03074240      </v>
      </c>
      <c r="C1135" t="s">
        <v>4516</v>
      </c>
      <c r="D1135" t="s">
        <v>4516</v>
      </c>
      <c r="E1135" t="s">
        <v>4517</v>
      </c>
      <c r="F1135" t="s">
        <v>4518</v>
      </c>
    </row>
    <row r="1136" spans="1:6" x14ac:dyDescent="0.25">
      <c r="A1136" t="s">
        <v>1679</v>
      </c>
      <c r="B1136" t="str">
        <f>"03074290      "</f>
        <v xml:space="preserve">03074290      </v>
      </c>
      <c r="C1136" t="s">
        <v>4175</v>
      </c>
      <c r="D1136" t="s">
        <v>4175</v>
      </c>
      <c r="E1136" t="s">
        <v>4519</v>
      </c>
      <c r="F1136" t="s">
        <v>4520</v>
      </c>
    </row>
    <row r="1137" spans="1:6" x14ac:dyDescent="0.25">
      <c r="A1137" t="s">
        <v>1679</v>
      </c>
      <c r="B1137" t="str">
        <f>"03074321      "</f>
        <v xml:space="preserve">03074321      </v>
      </c>
      <c r="C1137" t="s">
        <v>4521</v>
      </c>
      <c r="D1137" t="s">
        <v>4521</v>
      </c>
      <c r="E1137" t="s">
        <v>4522</v>
      </c>
      <c r="F1137" t="s">
        <v>4523</v>
      </c>
    </row>
    <row r="1138" spans="1:6" x14ac:dyDescent="0.25">
      <c r="A1138" t="s">
        <v>1679</v>
      </c>
      <c r="B1138" t="str">
        <f>"03074325      "</f>
        <v xml:space="preserve">03074325      </v>
      </c>
      <c r="C1138" t="s">
        <v>4175</v>
      </c>
      <c r="D1138" t="s">
        <v>4175</v>
      </c>
      <c r="E1138" t="s">
        <v>4524</v>
      </c>
      <c r="F1138" t="s">
        <v>4525</v>
      </c>
    </row>
    <row r="1139" spans="1:6" x14ac:dyDescent="0.25">
      <c r="A1139" t="s">
        <v>1679</v>
      </c>
      <c r="B1139" t="str">
        <f>"03074329      "</f>
        <v xml:space="preserve">03074329      </v>
      </c>
      <c r="C1139" t="s">
        <v>4526</v>
      </c>
      <c r="D1139" t="s">
        <v>4526</v>
      </c>
      <c r="E1139" t="s">
        <v>4527</v>
      </c>
      <c r="F1139" t="s">
        <v>4528</v>
      </c>
    </row>
    <row r="1140" spans="1:6" x14ac:dyDescent="0.25">
      <c r="A1140" t="s">
        <v>1679</v>
      </c>
      <c r="B1140" t="str">
        <f>"03074331      "</f>
        <v xml:space="preserve">03074331      </v>
      </c>
      <c r="C1140" t="s">
        <v>4529</v>
      </c>
      <c r="D1140" t="s">
        <v>4529</v>
      </c>
      <c r="E1140" t="s">
        <v>4530</v>
      </c>
      <c r="F1140" t="s">
        <v>4531</v>
      </c>
    </row>
    <row r="1141" spans="1:6" x14ac:dyDescent="0.25">
      <c r="A1141" t="s">
        <v>1679</v>
      </c>
      <c r="B1141" t="str">
        <f>"03074333      "</f>
        <v xml:space="preserve">03074333      </v>
      </c>
      <c r="C1141" t="s">
        <v>4532</v>
      </c>
      <c r="D1141" t="s">
        <v>4532</v>
      </c>
      <c r="E1141" t="s">
        <v>4533</v>
      </c>
      <c r="F1141" t="s">
        <v>4534</v>
      </c>
    </row>
    <row r="1142" spans="1:6" x14ac:dyDescent="0.25">
      <c r="A1142" t="s">
        <v>1679</v>
      </c>
      <c r="B1142" t="str">
        <f>"03074335      "</f>
        <v xml:space="preserve">03074335      </v>
      </c>
      <c r="C1142" t="s">
        <v>4535</v>
      </c>
      <c r="D1142" t="s">
        <v>4535</v>
      </c>
      <c r="E1142" t="s">
        <v>4536</v>
      </c>
      <c r="F1142" t="s">
        <v>4537</v>
      </c>
    </row>
    <row r="1143" spans="1:6" x14ac:dyDescent="0.25">
      <c r="A1143" t="s">
        <v>1679</v>
      </c>
      <c r="B1143" t="str">
        <f>"03074338      "</f>
        <v xml:space="preserve">03074338      </v>
      </c>
      <c r="C1143" t="s">
        <v>4175</v>
      </c>
      <c r="D1143" t="s">
        <v>4175</v>
      </c>
      <c r="E1143" t="s">
        <v>4538</v>
      </c>
      <c r="F1143" t="s">
        <v>4539</v>
      </c>
    </row>
    <row r="1144" spans="1:6" x14ac:dyDescent="0.25">
      <c r="A1144" t="s">
        <v>1679</v>
      </c>
      <c r="B1144" t="str">
        <f>"03074391      "</f>
        <v xml:space="preserve">03074391      </v>
      </c>
      <c r="C1144" t="s">
        <v>4540</v>
      </c>
      <c r="D1144" t="s">
        <v>4540</v>
      </c>
      <c r="E1144" t="s">
        <v>4541</v>
      </c>
      <c r="F1144" t="s">
        <v>4542</v>
      </c>
    </row>
    <row r="1145" spans="1:6" x14ac:dyDescent="0.25">
      <c r="A1145" t="s">
        <v>1679</v>
      </c>
      <c r="B1145" t="str">
        <f>"03074392      "</f>
        <v xml:space="preserve">03074392      </v>
      </c>
      <c r="C1145" t="s">
        <v>2031</v>
      </c>
      <c r="D1145" t="s">
        <v>2031</v>
      </c>
      <c r="E1145" t="s">
        <v>4543</v>
      </c>
      <c r="F1145" t="s">
        <v>4544</v>
      </c>
    </row>
    <row r="1146" spans="1:6" x14ac:dyDescent="0.25">
      <c r="A1146" t="s">
        <v>1679</v>
      </c>
      <c r="B1146" t="str">
        <f>"03074395      "</f>
        <v xml:space="preserve">03074395      </v>
      </c>
      <c r="C1146" t="s">
        <v>4545</v>
      </c>
      <c r="D1146" t="s">
        <v>4545</v>
      </c>
      <c r="E1146" t="s">
        <v>4546</v>
      </c>
      <c r="F1146" t="s">
        <v>4547</v>
      </c>
    </row>
    <row r="1147" spans="1:6" x14ac:dyDescent="0.25">
      <c r="A1147" t="s">
        <v>1679</v>
      </c>
      <c r="B1147" t="str">
        <f>"03074399      "</f>
        <v xml:space="preserve">03074399      </v>
      </c>
      <c r="C1147" t="s">
        <v>4175</v>
      </c>
      <c r="D1147" t="s">
        <v>4175</v>
      </c>
      <c r="E1147" t="s">
        <v>4548</v>
      </c>
      <c r="F1147" t="s">
        <v>4549</v>
      </c>
    </row>
    <row r="1148" spans="1:6" x14ac:dyDescent="0.25">
      <c r="A1148" t="s">
        <v>1679</v>
      </c>
      <c r="B1148" t="str">
        <f>"03074920      "</f>
        <v xml:space="preserve">03074920      </v>
      </c>
      <c r="C1148" t="s">
        <v>4508</v>
      </c>
      <c r="D1148" t="s">
        <v>4508</v>
      </c>
      <c r="E1148" t="s">
        <v>4550</v>
      </c>
      <c r="F1148" t="s">
        <v>4551</v>
      </c>
    </row>
    <row r="1149" spans="1:6" x14ac:dyDescent="0.25">
      <c r="A1149" t="s">
        <v>1679</v>
      </c>
      <c r="B1149" t="str">
        <f>"03074940      "</f>
        <v xml:space="preserve">03074940      </v>
      </c>
      <c r="C1149" t="s">
        <v>1998</v>
      </c>
      <c r="D1149" t="s">
        <v>1998</v>
      </c>
      <c r="E1149" t="s">
        <v>4552</v>
      </c>
      <c r="F1149" t="s">
        <v>4553</v>
      </c>
    </row>
    <row r="1150" spans="1:6" x14ac:dyDescent="0.25">
      <c r="A1150" t="s">
        <v>1679</v>
      </c>
      <c r="B1150" t="str">
        <f>"03074950      "</f>
        <v xml:space="preserve">03074950      </v>
      </c>
      <c r="C1150" t="s">
        <v>4540</v>
      </c>
      <c r="D1150" t="s">
        <v>4540</v>
      </c>
      <c r="E1150" t="s">
        <v>4554</v>
      </c>
      <c r="F1150" t="s">
        <v>4555</v>
      </c>
    </row>
    <row r="1151" spans="1:6" x14ac:dyDescent="0.25">
      <c r="A1151" t="s">
        <v>1679</v>
      </c>
      <c r="B1151" t="str">
        <f>"03074960      "</f>
        <v xml:space="preserve">03074960      </v>
      </c>
      <c r="C1151" t="s">
        <v>4545</v>
      </c>
      <c r="D1151" t="s">
        <v>4545</v>
      </c>
      <c r="E1151" t="s">
        <v>4556</v>
      </c>
      <c r="F1151" t="s">
        <v>4557</v>
      </c>
    </row>
    <row r="1152" spans="1:6" x14ac:dyDescent="0.25">
      <c r="A1152" t="s">
        <v>1679</v>
      </c>
      <c r="B1152" t="str">
        <f>"03074980      "</f>
        <v xml:space="preserve">03074980      </v>
      </c>
      <c r="C1152" t="s">
        <v>4175</v>
      </c>
      <c r="D1152" t="s">
        <v>4175</v>
      </c>
      <c r="E1152" t="s">
        <v>4558</v>
      </c>
      <c r="F1152" t="s">
        <v>4559</v>
      </c>
    </row>
    <row r="1153" spans="1:6" x14ac:dyDescent="0.25">
      <c r="A1153" t="s">
        <v>1679</v>
      </c>
      <c r="B1153" t="str">
        <f>"03075100      "</f>
        <v xml:space="preserve">03075100      </v>
      </c>
      <c r="C1153" t="s">
        <v>4560</v>
      </c>
      <c r="D1153" t="s">
        <v>4560</v>
      </c>
      <c r="E1153" t="s">
        <v>4561</v>
      </c>
      <c r="F1153" t="s">
        <v>4562</v>
      </c>
    </row>
    <row r="1154" spans="1:6" x14ac:dyDescent="0.25">
      <c r="A1154" t="s">
        <v>1679</v>
      </c>
      <c r="B1154" t="str">
        <f>"03075200      "</f>
        <v xml:space="preserve">03075200      </v>
      </c>
      <c r="C1154" t="s">
        <v>4563</v>
      </c>
      <c r="D1154" t="s">
        <v>4563</v>
      </c>
      <c r="E1154" t="s">
        <v>4564</v>
      </c>
      <c r="F1154" t="s">
        <v>4565</v>
      </c>
    </row>
    <row r="1155" spans="1:6" x14ac:dyDescent="0.25">
      <c r="A1155" t="s">
        <v>1679</v>
      </c>
      <c r="B1155" t="str">
        <f>"03075900      "</f>
        <v xml:space="preserve">03075900      </v>
      </c>
      <c r="C1155" t="s">
        <v>4175</v>
      </c>
      <c r="D1155" t="s">
        <v>4175</v>
      </c>
      <c r="E1155" t="s">
        <v>4566</v>
      </c>
      <c r="F1155" t="s">
        <v>4567</v>
      </c>
    </row>
    <row r="1156" spans="1:6" x14ac:dyDescent="0.25">
      <c r="A1156" t="s">
        <v>1679</v>
      </c>
      <c r="B1156" t="str">
        <f>"03076000      "</f>
        <v xml:space="preserve">03076000      </v>
      </c>
      <c r="C1156" t="s">
        <v>4568</v>
      </c>
      <c r="D1156" t="s">
        <v>4568</v>
      </c>
      <c r="E1156" t="s">
        <v>4569</v>
      </c>
      <c r="F1156" t="s">
        <v>4570</v>
      </c>
    </row>
    <row r="1157" spans="1:6" x14ac:dyDescent="0.25">
      <c r="A1157" t="s">
        <v>1679</v>
      </c>
      <c r="B1157" t="str">
        <f>"03077100      "</f>
        <v xml:space="preserve">03077100      </v>
      </c>
      <c r="C1157" t="s">
        <v>4560</v>
      </c>
      <c r="D1157" t="s">
        <v>4560</v>
      </c>
      <c r="E1157" t="s">
        <v>4571</v>
      </c>
      <c r="F1157" t="s">
        <v>4572</v>
      </c>
    </row>
    <row r="1158" spans="1:6" x14ac:dyDescent="0.25">
      <c r="A1158" t="s">
        <v>1679</v>
      </c>
      <c r="B1158" t="str">
        <f>"03077210      "</f>
        <v xml:space="preserve">03077210      </v>
      </c>
      <c r="C1158" t="s">
        <v>4573</v>
      </c>
      <c r="D1158" t="s">
        <v>4573</v>
      </c>
      <c r="E1158" t="s">
        <v>4574</v>
      </c>
      <c r="F1158" t="s">
        <v>4575</v>
      </c>
    </row>
    <row r="1159" spans="1:6" x14ac:dyDescent="0.25">
      <c r="A1159" t="s">
        <v>1679</v>
      </c>
      <c r="B1159" t="str">
        <f>"03077290      "</f>
        <v xml:space="preserve">03077290      </v>
      </c>
      <c r="C1159" t="s">
        <v>4175</v>
      </c>
      <c r="D1159" t="s">
        <v>4175</v>
      </c>
      <c r="E1159" t="s">
        <v>4576</v>
      </c>
      <c r="F1159" t="s">
        <v>4577</v>
      </c>
    </row>
    <row r="1160" spans="1:6" x14ac:dyDescent="0.25">
      <c r="A1160" t="s">
        <v>1679</v>
      </c>
      <c r="B1160" t="str">
        <f>"03077900      "</f>
        <v xml:space="preserve">03077900      </v>
      </c>
      <c r="C1160" t="s">
        <v>4175</v>
      </c>
      <c r="D1160" t="s">
        <v>4175</v>
      </c>
      <c r="E1160" t="s">
        <v>4578</v>
      </c>
      <c r="F1160" t="s">
        <v>4579</v>
      </c>
    </row>
    <row r="1161" spans="1:6" x14ac:dyDescent="0.25">
      <c r="A1161" t="s">
        <v>1679</v>
      </c>
      <c r="B1161" t="str">
        <f>"03078100      "</f>
        <v xml:space="preserve">03078100      </v>
      </c>
      <c r="C1161" t="s">
        <v>4580</v>
      </c>
      <c r="D1161" t="s">
        <v>4580</v>
      </c>
      <c r="E1161" t="s">
        <v>4581</v>
      </c>
      <c r="F1161" t="s">
        <v>4582</v>
      </c>
    </row>
    <row r="1162" spans="1:6" x14ac:dyDescent="0.25">
      <c r="A1162" t="s">
        <v>1679</v>
      </c>
      <c r="B1162" t="str">
        <f>"03078200      "</f>
        <v xml:space="preserve">03078200      </v>
      </c>
      <c r="C1162" t="s">
        <v>4583</v>
      </c>
      <c r="D1162" t="s">
        <v>4583</v>
      </c>
      <c r="E1162" t="s">
        <v>4584</v>
      </c>
      <c r="F1162" t="s">
        <v>4585</v>
      </c>
    </row>
    <row r="1163" spans="1:6" x14ac:dyDescent="0.25">
      <c r="A1163" t="s">
        <v>1679</v>
      </c>
      <c r="B1163" t="str">
        <f>"03078300      "</f>
        <v xml:space="preserve">03078300      </v>
      </c>
      <c r="C1163" t="s">
        <v>4586</v>
      </c>
      <c r="D1163" t="s">
        <v>4586</v>
      </c>
      <c r="E1163" t="s">
        <v>4587</v>
      </c>
      <c r="F1163" t="s">
        <v>4588</v>
      </c>
    </row>
    <row r="1164" spans="1:6" x14ac:dyDescent="0.25">
      <c r="A1164" t="s">
        <v>1679</v>
      </c>
      <c r="B1164" t="str">
        <f>"03078400      "</f>
        <v xml:space="preserve">03078400      </v>
      </c>
      <c r="C1164" t="s">
        <v>4589</v>
      </c>
      <c r="D1164" t="s">
        <v>4589</v>
      </c>
      <c r="E1164" t="s">
        <v>4590</v>
      </c>
      <c r="F1164" t="s">
        <v>4591</v>
      </c>
    </row>
    <row r="1165" spans="1:6" x14ac:dyDescent="0.25">
      <c r="A1165" t="s">
        <v>1679</v>
      </c>
      <c r="B1165" t="str">
        <f>"03078700      "</f>
        <v xml:space="preserve">03078700      </v>
      </c>
      <c r="C1165" t="s">
        <v>4592</v>
      </c>
      <c r="D1165" t="s">
        <v>4592</v>
      </c>
      <c r="E1165" t="s">
        <v>4593</v>
      </c>
      <c r="F1165" t="s">
        <v>4594</v>
      </c>
    </row>
    <row r="1166" spans="1:6" x14ac:dyDescent="0.25">
      <c r="A1166" t="s">
        <v>1679</v>
      </c>
      <c r="B1166" t="str">
        <f>"03078800      "</f>
        <v xml:space="preserve">03078800      </v>
      </c>
      <c r="C1166" t="s">
        <v>4595</v>
      </c>
      <c r="D1166" t="s">
        <v>4595</v>
      </c>
      <c r="E1166" t="s">
        <v>4596</v>
      </c>
      <c r="F1166" t="s">
        <v>4597</v>
      </c>
    </row>
    <row r="1167" spans="1:6" x14ac:dyDescent="0.25">
      <c r="A1167" t="s">
        <v>1679</v>
      </c>
      <c r="B1167" t="str">
        <f>"03079100      "</f>
        <v xml:space="preserve">03079100      </v>
      </c>
      <c r="C1167" t="s">
        <v>4560</v>
      </c>
      <c r="D1167" t="s">
        <v>4560</v>
      </c>
      <c r="E1167" t="s">
        <v>4598</v>
      </c>
      <c r="F1167" t="s">
        <v>4599</v>
      </c>
    </row>
    <row r="1168" spans="1:6" x14ac:dyDescent="0.25">
      <c r="A1168" t="s">
        <v>1679</v>
      </c>
      <c r="B1168" t="str">
        <f>"03079200      "</f>
        <v xml:space="preserve">03079200      </v>
      </c>
      <c r="C1168" t="s">
        <v>4563</v>
      </c>
      <c r="D1168" t="s">
        <v>4563</v>
      </c>
      <c r="E1168" t="s">
        <v>4600</v>
      </c>
      <c r="F1168" t="s">
        <v>4601</v>
      </c>
    </row>
    <row r="1169" spans="1:6" x14ac:dyDescent="0.25">
      <c r="A1169" t="s">
        <v>1679</v>
      </c>
      <c r="B1169" t="str">
        <f>"03079900      "</f>
        <v xml:space="preserve">03079900      </v>
      </c>
      <c r="C1169" t="s">
        <v>4175</v>
      </c>
      <c r="D1169" t="s">
        <v>4175</v>
      </c>
      <c r="E1169" t="s">
        <v>4602</v>
      </c>
      <c r="F1169" t="s">
        <v>4603</v>
      </c>
    </row>
    <row r="1170" spans="1:6" x14ac:dyDescent="0.25">
      <c r="A1170" t="s">
        <v>1679</v>
      </c>
      <c r="B1170" t="str">
        <f>"03081100      "</f>
        <v xml:space="preserve">03081100      </v>
      </c>
      <c r="C1170" t="s">
        <v>4604</v>
      </c>
      <c r="D1170" t="s">
        <v>4604</v>
      </c>
      <c r="E1170" t="s">
        <v>4605</v>
      </c>
      <c r="F1170" t="s">
        <v>4606</v>
      </c>
    </row>
    <row r="1171" spans="1:6" x14ac:dyDescent="0.25">
      <c r="A1171" t="s">
        <v>1679</v>
      </c>
      <c r="B1171" t="str">
        <f>"03081200      "</f>
        <v xml:space="preserve">03081200      </v>
      </c>
      <c r="C1171" t="s">
        <v>4486</v>
      </c>
      <c r="D1171" t="s">
        <v>4486</v>
      </c>
      <c r="E1171" t="s">
        <v>4607</v>
      </c>
      <c r="F1171" t="s">
        <v>4608</v>
      </c>
    </row>
    <row r="1172" spans="1:6" x14ac:dyDescent="0.25">
      <c r="A1172" t="s">
        <v>1679</v>
      </c>
      <c r="B1172" t="str">
        <f>"03081900      "</f>
        <v xml:space="preserve">03081900      </v>
      </c>
      <c r="C1172" t="s">
        <v>4175</v>
      </c>
      <c r="D1172" t="s">
        <v>4175</v>
      </c>
      <c r="E1172" t="s">
        <v>4609</v>
      </c>
      <c r="F1172" t="s">
        <v>4610</v>
      </c>
    </row>
    <row r="1173" spans="1:6" x14ac:dyDescent="0.25">
      <c r="A1173" t="s">
        <v>1679</v>
      </c>
      <c r="B1173" t="str">
        <f>"03082100      "</f>
        <v xml:space="preserve">03082100      </v>
      </c>
      <c r="C1173" t="s">
        <v>4560</v>
      </c>
      <c r="D1173" t="s">
        <v>4560</v>
      </c>
      <c r="E1173" t="s">
        <v>4611</v>
      </c>
      <c r="F1173" t="s">
        <v>4612</v>
      </c>
    </row>
    <row r="1174" spans="1:6" x14ac:dyDescent="0.25">
      <c r="A1174" t="s">
        <v>1679</v>
      </c>
      <c r="B1174" t="str">
        <f>"03082200      "</f>
        <v xml:space="preserve">03082200      </v>
      </c>
      <c r="C1174" t="s">
        <v>4563</v>
      </c>
      <c r="D1174" t="s">
        <v>4563</v>
      </c>
      <c r="E1174" t="s">
        <v>4613</v>
      </c>
      <c r="F1174" t="s">
        <v>4614</v>
      </c>
    </row>
    <row r="1175" spans="1:6" x14ac:dyDescent="0.25">
      <c r="A1175" t="s">
        <v>1679</v>
      </c>
      <c r="B1175" t="str">
        <f>"03082900      "</f>
        <v xml:space="preserve">03082900      </v>
      </c>
      <c r="C1175" t="s">
        <v>4175</v>
      </c>
      <c r="D1175" t="s">
        <v>4175</v>
      </c>
      <c r="E1175" t="s">
        <v>4615</v>
      </c>
      <c r="F1175" t="s">
        <v>4616</v>
      </c>
    </row>
    <row r="1176" spans="1:6" x14ac:dyDescent="0.25">
      <c r="A1176" t="s">
        <v>1679</v>
      </c>
      <c r="B1176" t="str">
        <f>"03083050      "</f>
        <v xml:space="preserve">03083050      </v>
      </c>
      <c r="C1176" t="s">
        <v>4486</v>
      </c>
      <c r="D1176" t="s">
        <v>4486</v>
      </c>
      <c r="E1176" t="s">
        <v>4617</v>
      </c>
      <c r="F1176" t="s">
        <v>4618</v>
      </c>
    </row>
    <row r="1177" spans="1:6" x14ac:dyDescent="0.25">
      <c r="A1177" t="s">
        <v>1679</v>
      </c>
      <c r="B1177" t="str">
        <f>"03083080      "</f>
        <v xml:space="preserve">03083080      </v>
      </c>
      <c r="C1177" t="s">
        <v>4175</v>
      </c>
      <c r="D1177" t="s">
        <v>4175</v>
      </c>
      <c r="E1177" t="s">
        <v>4619</v>
      </c>
      <c r="F1177" t="s">
        <v>4620</v>
      </c>
    </row>
    <row r="1178" spans="1:6" x14ac:dyDescent="0.25">
      <c r="A1178" t="s">
        <v>1679</v>
      </c>
      <c r="B1178" t="str">
        <f>"03089010      "</f>
        <v xml:space="preserve">03089010      </v>
      </c>
      <c r="C1178" t="s">
        <v>4560</v>
      </c>
      <c r="D1178" t="s">
        <v>4560</v>
      </c>
      <c r="E1178" t="s">
        <v>4621</v>
      </c>
      <c r="F1178" t="s">
        <v>4622</v>
      </c>
    </row>
    <row r="1179" spans="1:6" x14ac:dyDescent="0.25">
      <c r="A1179" t="s">
        <v>1679</v>
      </c>
      <c r="B1179" t="str">
        <f>"03089050      "</f>
        <v xml:space="preserve">03089050      </v>
      </c>
      <c r="C1179" t="s">
        <v>4563</v>
      </c>
      <c r="D1179" t="s">
        <v>4563</v>
      </c>
      <c r="E1179" t="s">
        <v>4623</v>
      </c>
      <c r="F1179" t="s">
        <v>4624</v>
      </c>
    </row>
    <row r="1180" spans="1:6" x14ac:dyDescent="0.25">
      <c r="A1180" t="s">
        <v>1679</v>
      </c>
      <c r="B1180" t="str">
        <f>"03089090      "</f>
        <v xml:space="preserve">03089090      </v>
      </c>
      <c r="C1180" t="s">
        <v>4175</v>
      </c>
      <c r="D1180" t="s">
        <v>4175</v>
      </c>
      <c r="E1180" t="s">
        <v>4625</v>
      </c>
      <c r="F1180" t="s">
        <v>4626</v>
      </c>
    </row>
    <row r="1181" spans="1:6" x14ac:dyDescent="0.25">
      <c r="A1181" t="s">
        <v>1679</v>
      </c>
      <c r="B1181" t="str">
        <f>"04039011      "</f>
        <v xml:space="preserve">04039011      </v>
      </c>
      <c r="C1181" t="s">
        <v>4627</v>
      </c>
      <c r="D1181" t="s">
        <v>4627</v>
      </c>
      <c r="E1181" t="s">
        <v>4628</v>
      </c>
      <c r="F1181" t="s">
        <v>4629</v>
      </c>
    </row>
    <row r="1182" spans="1:6" x14ac:dyDescent="0.25">
      <c r="A1182" t="s">
        <v>1679</v>
      </c>
      <c r="B1182" t="str">
        <f>"04039013      "</f>
        <v xml:space="preserve">04039013      </v>
      </c>
      <c r="C1182" t="s">
        <v>4630</v>
      </c>
      <c r="D1182" t="s">
        <v>4630</v>
      </c>
      <c r="E1182" t="s">
        <v>4631</v>
      </c>
      <c r="F1182" t="s">
        <v>4632</v>
      </c>
    </row>
    <row r="1183" spans="1:6" x14ac:dyDescent="0.25">
      <c r="A1183" t="s">
        <v>1679</v>
      </c>
      <c r="B1183" t="str">
        <f>"04039019      "</f>
        <v xml:space="preserve">04039019      </v>
      </c>
      <c r="C1183" t="s">
        <v>4633</v>
      </c>
      <c r="D1183" t="s">
        <v>4633</v>
      </c>
      <c r="E1183" t="s">
        <v>4634</v>
      </c>
      <c r="F1183" t="s">
        <v>4635</v>
      </c>
    </row>
    <row r="1184" spans="1:6" x14ac:dyDescent="0.25">
      <c r="A1184" t="s">
        <v>1679</v>
      </c>
      <c r="B1184" t="str">
        <f>"04039031      "</f>
        <v xml:space="preserve">04039031      </v>
      </c>
      <c r="C1184" t="s">
        <v>4627</v>
      </c>
      <c r="D1184" t="s">
        <v>4627</v>
      </c>
      <c r="E1184" t="s">
        <v>4636</v>
      </c>
      <c r="F1184" t="s">
        <v>4637</v>
      </c>
    </row>
    <row r="1185" spans="1:6" x14ac:dyDescent="0.25">
      <c r="A1185" t="s">
        <v>1679</v>
      </c>
      <c r="B1185" t="str">
        <f>"04039033      "</f>
        <v xml:space="preserve">04039033      </v>
      </c>
      <c r="C1185" t="s">
        <v>4630</v>
      </c>
      <c r="D1185" t="s">
        <v>4630</v>
      </c>
      <c r="E1185" t="s">
        <v>4638</v>
      </c>
      <c r="F1185" t="s">
        <v>4639</v>
      </c>
    </row>
    <row r="1186" spans="1:6" x14ac:dyDescent="0.25">
      <c r="A1186" t="s">
        <v>1679</v>
      </c>
      <c r="B1186" t="str">
        <f>"04039039      "</f>
        <v xml:space="preserve">04039039      </v>
      </c>
      <c r="C1186" t="s">
        <v>4633</v>
      </c>
      <c r="D1186" t="s">
        <v>4633</v>
      </c>
      <c r="E1186" t="s">
        <v>4640</v>
      </c>
      <c r="F1186" t="s">
        <v>4641</v>
      </c>
    </row>
    <row r="1187" spans="1:6" x14ac:dyDescent="0.25">
      <c r="A1187" t="s">
        <v>1679</v>
      </c>
      <c r="B1187" t="str">
        <f>"04039051      "</f>
        <v xml:space="preserve">04039051      </v>
      </c>
      <c r="C1187" t="s">
        <v>4642</v>
      </c>
      <c r="D1187" t="s">
        <v>4642</v>
      </c>
      <c r="E1187" t="s">
        <v>4643</v>
      </c>
      <c r="F1187" t="s">
        <v>4644</v>
      </c>
    </row>
    <row r="1188" spans="1:6" x14ac:dyDescent="0.25">
      <c r="A1188" t="s">
        <v>1679</v>
      </c>
      <c r="B1188" t="str">
        <f>"04039053      "</f>
        <v xml:space="preserve">04039053      </v>
      </c>
      <c r="C1188" t="s">
        <v>4645</v>
      </c>
      <c r="D1188" t="s">
        <v>4645</v>
      </c>
      <c r="E1188" t="s">
        <v>4646</v>
      </c>
      <c r="F1188" t="s">
        <v>4647</v>
      </c>
    </row>
    <row r="1189" spans="1:6" x14ac:dyDescent="0.25">
      <c r="A1189" t="s">
        <v>1679</v>
      </c>
      <c r="B1189" t="str">
        <f>"04039059      "</f>
        <v xml:space="preserve">04039059      </v>
      </c>
      <c r="C1189" t="s">
        <v>4648</v>
      </c>
      <c r="D1189" t="s">
        <v>4648</v>
      </c>
      <c r="E1189" t="s">
        <v>4649</v>
      </c>
      <c r="F1189" t="s">
        <v>4650</v>
      </c>
    </row>
    <row r="1190" spans="1:6" x14ac:dyDescent="0.25">
      <c r="A1190" t="s">
        <v>1679</v>
      </c>
      <c r="B1190" t="str">
        <f>"04039061      "</f>
        <v xml:space="preserve">04039061      </v>
      </c>
      <c r="C1190" t="s">
        <v>4642</v>
      </c>
      <c r="D1190" t="s">
        <v>4642</v>
      </c>
      <c r="E1190" t="s">
        <v>4651</v>
      </c>
      <c r="F1190" t="s">
        <v>4652</v>
      </c>
    </row>
    <row r="1191" spans="1:6" x14ac:dyDescent="0.25">
      <c r="A1191" t="s">
        <v>1679</v>
      </c>
      <c r="B1191" t="str">
        <f>"04039063      "</f>
        <v xml:space="preserve">04039063      </v>
      </c>
      <c r="C1191" t="s">
        <v>4645</v>
      </c>
      <c r="D1191" t="s">
        <v>4645</v>
      </c>
      <c r="E1191" t="s">
        <v>4653</v>
      </c>
      <c r="F1191" t="s">
        <v>4654</v>
      </c>
    </row>
    <row r="1192" spans="1:6" x14ac:dyDescent="0.25">
      <c r="A1192" t="s">
        <v>1679</v>
      </c>
      <c r="B1192" t="str">
        <f>"04039069      "</f>
        <v xml:space="preserve">04039069      </v>
      </c>
      <c r="C1192" t="s">
        <v>4648</v>
      </c>
      <c r="D1192" t="s">
        <v>4648</v>
      </c>
      <c r="E1192" t="s">
        <v>4655</v>
      </c>
      <c r="F1192" t="s">
        <v>4656</v>
      </c>
    </row>
    <row r="1193" spans="1:6" x14ac:dyDescent="0.25">
      <c r="A1193" t="s">
        <v>1679</v>
      </c>
      <c r="B1193" t="str">
        <f>"04039071      "</f>
        <v xml:space="preserve">04039071      </v>
      </c>
      <c r="C1193" t="s">
        <v>4627</v>
      </c>
      <c r="D1193" t="s">
        <v>4627</v>
      </c>
      <c r="E1193" t="s">
        <v>4657</v>
      </c>
      <c r="F1193" t="s">
        <v>4658</v>
      </c>
    </row>
    <row r="1194" spans="1:6" x14ac:dyDescent="0.25">
      <c r="A1194" t="s">
        <v>1679</v>
      </c>
      <c r="B1194" t="str">
        <f>"04039073      "</f>
        <v xml:space="preserve">04039073      </v>
      </c>
      <c r="C1194" t="s">
        <v>4630</v>
      </c>
      <c r="D1194" t="s">
        <v>4630</v>
      </c>
      <c r="E1194" t="s">
        <v>4659</v>
      </c>
      <c r="F1194" t="s">
        <v>4660</v>
      </c>
    </row>
    <row r="1195" spans="1:6" x14ac:dyDescent="0.25">
      <c r="A1195" t="s">
        <v>1679</v>
      </c>
      <c r="B1195" t="str">
        <f>"04039079      "</f>
        <v xml:space="preserve">04039079      </v>
      </c>
      <c r="C1195" t="s">
        <v>4633</v>
      </c>
      <c r="D1195" t="s">
        <v>4633</v>
      </c>
      <c r="E1195" t="s">
        <v>4661</v>
      </c>
      <c r="F1195" t="s">
        <v>4662</v>
      </c>
    </row>
    <row r="1196" spans="1:6" x14ac:dyDescent="0.25">
      <c r="A1196" t="s">
        <v>1679</v>
      </c>
      <c r="B1196" t="str">
        <f>"04039091      "</f>
        <v xml:space="preserve">04039091      </v>
      </c>
      <c r="C1196" t="s">
        <v>4642</v>
      </c>
      <c r="D1196" t="s">
        <v>4642</v>
      </c>
      <c r="E1196" t="s">
        <v>4663</v>
      </c>
      <c r="F1196" t="s">
        <v>4664</v>
      </c>
    </row>
    <row r="1197" spans="1:6" x14ac:dyDescent="0.25">
      <c r="A1197" t="s">
        <v>1679</v>
      </c>
      <c r="B1197" t="str">
        <f>"04039093      "</f>
        <v xml:space="preserve">04039093      </v>
      </c>
      <c r="C1197" t="s">
        <v>4645</v>
      </c>
      <c r="D1197" t="s">
        <v>4645</v>
      </c>
      <c r="E1197" t="s">
        <v>4665</v>
      </c>
      <c r="F1197" t="s">
        <v>4666</v>
      </c>
    </row>
    <row r="1198" spans="1:6" x14ac:dyDescent="0.25">
      <c r="A1198" t="s">
        <v>1679</v>
      </c>
      <c r="B1198" t="str">
        <f>"04039099      "</f>
        <v xml:space="preserve">04039099      </v>
      </c>
      <c r="C1198" t="s">
        <v>4648</v>
      </c>
      <c r="D1198" t="s">
        <v>4648</v>
      </c>
      <c r="E1198" t="s">
        <v>4667</v>
      </c>
      <c r="F1198" t="s">
        <v>4668</v>
      </c>
    </row>
    <row r="1199" spans="1:6" x14ac:dyDescent="0.25">
      <c r="A1199" t="s">
        <v>1679</v>
      </c>
      <c r="B1199" t="str">
        <f>"07112010      "</f>
        <v xml:space="preserve">07112010      </v>
      </c>
      <c r="C1199" t="s">
        <v>4669</v>
      </c>
      <c r="D1199" t="s">
        <v>4669</v>
      </c>
      <c r="E1199" t="s">
        <v>4670</v>
      </c>
      <c r="F1199" t="s">
        <v>4671</v>
      </c>
    </row>
    <row r="1200" spans="1:6" x14ac:dyDescent="0.25">
      <c r="A1200" t="s">
        <v>1679</v>
      </c>
      <c r="B1200" t="str">
        <f>"07112090      "</f>
        <v xml:space="preserve">07112090      </v>
      </c>
      <c r="C1200" t="s">
        <v>4175</v>
      </c>
      <c r="D1200" t="s">
        <v>4175</v>
      </c>
      <c r="E1200" t="s">
        <v>4672</v>
      </c>
      <c r="F1200" t="s">
        <v>4673</v>
      </c>
    </row>
    <row r="1201" spans="1:6" x14ac:dyDescent="0.25">
      <c r="A1201" t="s">
        <v>1679</v>
      </c>
      <c r="B1201" t="str">
        <f>"07114000      "</f>
        <v xml:space="preserve">07114000      </v>
      </c>
      <c r="C1201" t="s">
        <v>4674</v>
      </c>
      <c r="D1201" t="s">
        <v>4674</v>
      </c>
      <c r="E1201" t="s">
        <v>4675</v>
      </c>
      <c r="F1201" t="s">
        <v>4676</v>
      </c>
    </row>
    <row r="1202" spans="1:6" x14ac:dyDescent="0.25">
      <c r="A1202" t="s">
        <v>1679</v>
      </c>
      <c r="B1202" t="str">
        <f>"07115100      "</f>
        <v xml:space="preserve">07115100      </v>
      </c>
      <c r="C1202" t="s">
        <v>4677</v>
      </c>
      <c r="D1202" t="s">
        <v>4677</v>
      </c>
      <c r="E1202" t="s">
        <v>4678</v>
      </c>
      <c r="F1202" t="s">
        <v>4679</v>
      </c>
    </row>
    <row r="1203" spans="1:6" x14ac:dyDescent="0.25">
      <c r="A1203" t="s">
        <v>1679</v>
      </c>
      <c r="B1203" t="str">
        <f>"07115900      "</f>
        <v xml:space="preserve">07115900      </v>
      </c>
      <c r="C1203" t="s">
        <v>4175</v>
      </c>
      <c r="D1203" t="s">
        <v>4175</v>
      </c>
      <c r="E1203" t="s">
        <v>4680</v>
      </c>
      <c r="F1203" t="s">
        <v>4681</v>
      </c>
    </row>
    <row r="1204" spans="1:6" x14ac:dyDescent="0.25">
      <c r="A1204" t="s">
        <v>1679</v>
      </c>
      <c r="B1204" t="str">
        <f>"07119010      "</f>
        <v xml:space="preserve">07119010      </v>
      </c>
      <c r="C1204" t="s">
        <v>4682</v>
      </c>
      <c r="D1204" t="s">
        <v>4682</v>
      </c>
      <c r="E1204" t="s">
        <v>4683</v>
      </c>
      <c r="F1204" t="s">
        <v>4684</v>
      </c>
    </row>
    <row r="1205" spans="1:6" x14ac:dyDescent="0.25">
      <c r="A1205" t="s">
        <v>1679</v>
      </c>
      <c r="B1205" t="str">
        <f>"07119030      "</f>
        <v xml:space="preserve">07119030      </v>
      </c>
      <c r="C1205" t="s">
        <v>4685</v>
      </c>
      <c r="D1205" t="s">
        <v>4685</v>
      </c>
      <c r="E1205" t="s">
        <v>4686</v>
      </c>
      <c r="F1205" t="s">
        <v>4687</v>
      </c>
    </row>
    <row r="1206" spans="1:6" x14ac:dyDescent="0.25">
      <c r="A1206" t="s">
        <v>1679</v>
      </c>
      <c r="B1206" t="str">
        <f>"07119050      "</f>
        <v xml:space="preserve">07119050      </v>
      </c>
      <c r="C1206" t="s">
        <v>4688</v>
      </c>
      <c r="D1206" t="s">
        <v>4688</v>
      </c>
      <c r="E1206" t="s">
        <v>4689</v>
      </c>
      <c r="F1206" t="s">
        <v>4690</v>
      </c>
    </row>
    <row r="1207" spans="1:6" x14ac:dyDescent="0.25">
      <c r="A1207" t="s">
        <v>1679</v>
      </c>
      <c r="B1207" t="str">
        <f>"07119070      "</f>
        <v xml:space="preserve">07119070      </v>
      </c>
      <c r="C1207" t="s">
        <v>4691</v>
      </c>
      <c r="D1207" t="s">
        <v>4691</v>
      </c>
      <c r="E1207" t="s">
        <v>4692</v>
      </c>
      <c r="F1207" t="s">
        <v>4693</v>
      </c>
    </row>
    <row r="1208" spans="1:6" x14ac:dyDescent="0.25">
      <c r="A1208" t="s">
        <v>1679</v>
      </c>
      <c r="B1208" t="str">
        <f>"07119080      "</f>
        <v xml:space="preserve">07119080      </v>
      </c>
      <c r="C1208" t="s">
        <v>4175</v>
      </c>
      <c r="D1208" t="s">
        <v>4175</v>
      </c>
      <c r="E1208" t="s">
        <v>4694</v>
      </c>
      <c r="F1208" t="s">
        <v>4695</v>
      </c>
    </row>
    <row r="1209" spans="1:6" x14ac:dyDescent="0.25">
      <c r="A1209" t="s">
        <v>1679</v>
      </c>
      <c r="B1209" t="str">
        <f>"07119090      "</f>
        <v xml:space="preserve">07119090      </v>
      </c>
      <c r="C1209" t="s">
        <v>4696</v>
      </c>
      <c r="D1209" t="s">
        <v>4696</v>
      </c>
      <c r="E1209" t="s">
        <v>4697</v>
      </c>
      <c r="F1209" t="s">
        <v>4698</v>
      </c>
    </row>
    <row r="1210" spans="1:6" x14ac:dyDescent="0.25">
      <c r="A1210" t="s">
        <v>1679</v>
      </c>
      <c r="B1210" t="str">
        <f>"08121000      "</f>
        <v xml:space="preserve">08121000      </v>
      </c>
      <c r="C1210" t="s">
        <v>4699</v>
      </c>
      <c r="D1210" t="s">
        <v>4699</v>
      </c>
      <c r="E1210" t="s">
        <v>4700</v>
      </c>
      <c r="F1210" t="s">
        <v>4701</v>
      </c>
    </row>
    <row r="1211" spans="1:6" x14ac:dyDescent="0.25">
      <c r="A1211" t="s">
        <v>1679</v>
      </c>
      <c r="B1211" t="str">
        <f>"08129025      "</f>
        <v xml:space="preserve">08129025      </v>
      </c>
      <c r="C1211" t="s">
        <v>4702</v>
      </c>
      <c r="D1211" t="s">
        <v>4702</v>
      </c>
      <c r="E1211" t="s">
        <v>4703</v>
      </c>
      <c r="F1211" t="s">
        <v>4704</v>
      </c>
    </row>
    <row r="1212" spans="1:6" x14ac:dyDescent="0.25">
      <c r="A1212" t="s">
        <v>1679</v>
      </c>
      <c r="B1212" t="str">
        <f>"08129030      "</f>
        <v xml:space="preserve">08129030      </v>
      </c>
      <c r="C1212" t="s">
        <v>4705</v>
      </c>
      <c r="D1212" t="s">
        <v>4705</v>
      </c>
      <c r="E1212" t="s">
        <v>4706</v>
      </c>
      <c r="F1212" t="s">
        <v>4707</v>
      </c>
    </row>
    <row r="1213" spans="1:6" x14ac:dyDescent="0.25">
      <c r="A1213" t="s">
        <v>1679</v>
      </c>
      <c r="B1213" t="str">
        <f>"08129040      "</f>
        <v xml:space="preserve">08129040      </v>
      </c>
      <c r="C1213" t="s">
        <v>4708</v>
      </c>
      <c r="D1213" t="s">
        <v>4708</v>
      </c>
      <c r="E1213" t="s">
        <v>4709</v>
      </c>
      <c r="F1213" t="s">
        <v>4710</v>
      </c>
    </row>
    <row r="1214" spans="1:6" x14ac:dyDescent="0.25">
      <c r="A1214" t="s">
        <v>1679</v>
      </c>
      <c r="B1214" t="str">
        <f>"08129070      "</f>
        <v xml:space="preserve">08129070      </v>
      </c>
      <c r="C1214" t="s">
        <v>4711</v>
      </c>
      <c r="D1214" t="s">
        <v>4711</v>
      </c>
      <c r="E1214" t="s">
        <v>4712</v>
      </c>
      <c r="F1214" t="s">
        <v>4713</v>
      </c>
    </row>
    <row r="1215" spans="1:6" x14ac:dyDescent="0.25">
      <c r="A1215" t="s">
        <v>1679</v>
      </c>
      <c r="B1215" t="str">
        <f>"08129098      "</f>
        <v xml:space="preserve">08129098      </v>
      </c>
      <c r="C1215" t="s">
        <v>4175</v>
      </c>
      <c r="D1215" t="s">
        <v>4175</v>
      </c>
      <c r="E1215" t="s">
        <v>4714</v>
      </c>
      <c r="F1215" t="s">
        <v>4715</v>
      </c>
    </row>
    <row r="1216" spans="1:6" x14ac:dyDescent="0.25">
      <c r="A1216" t="s">
        <v>1679</v>
      </c>
      <c r="B1216" t="str">
        <f>"15011010      "</f>
        <v xml:space="preserve">15011010      </v>
      </c>
      <c r="C1216" t="s">
        <v>4716</v>
      </c>
      <c r="D1216" t="s">
        <v>4716</v>
      </c>
      <c r="E1216" t="s">
        <v>4717</v>
      </c>
      <c r="F1216" t="s">
        <v>4718</v>
      </c>
    </row>
    <row r="1217" spans="1:6" x14ac:dyDescent="0.25">
      <c r="A1217" t="s">
        <v>1679</v>
      </c>
      <c r="B1217" t="str">
        <f>"15011090      "</f>
        <v xml:space="preserve">15011090      </v>
      </c>
      <c r="C1217" t="s">
        <v>4175</v>
      </c>
      <c r="D1217" t="s">
        <v>4175</v>
      </c>
      <c r="E1217" t="s">
        <v>4719</v>
      </c>
      <c r="F1217" t="s">
        <v>4720</v>
      </c>
    </row>
    <row r="1218" spans="1:6" x14ac:dyDescent="0.25">
      <c r="A1218" t="s">
        <v>1679</v>
      </c>
      <c r="B1218" t="str">
        <f>"15012010      "</f>
        <v xml:space="preserve">15012010      </v>
      </c>
      <c r="C1218" t="s">
        <v>4721</v>
      </c>
      <c r="D1218" t="s">
        <v>4721</v>
      </c>
      <c r="E1218" t="s">
        <v>4722</v>
      </c>
      <c r="F1218" t="s">
        <v>4723</v>
      </c>
    </row>
    <row r="1219" spans="1:6" x14ac:dyDescent="0.25">
      <c r="A1219" t="s">
        <v>1679</v>
      </c>
      <c r="B1219" t="str">
        <f>"15012090      "</f>
        <v xml:space="preserve">15012090      </v>
      </c>
      <c r="C1219" t="s">
        <v>4175</v>
      </c>
      <c r="D1219" t="s">
        <v>4175</v>
      </c>
      <c r="E1219" t="s">
        <v>4724</v>
      </c>
      <c r="F1219" t="s">
        <v>4725</v>
      </c>
    </row>
    <row r="1220" spans="1:6" x14ac:dyDescent="0.25">
      <c r="A1220" t="s">
        <v>1679</v>
      </c>
      <c r="B1220" t="str">
        <f>"15019000      "</f>
        <v xml:space="preserve">15019000      </v>
      </c>
      <c r="C1220" t="s">
        <v>4175</v>
      </c>
      <c r="D1220" t="s">
        <v>4175</v>
      </c>
      <c r="E1220" t="s">
        <v>4726</v>
      </c>
      <c r="F1220" t="s">
        <v>4727</v>
      </c>
    </row>
    <row r="1221" spans="1:6" x14ac:dyDescent="0.25">
      <c r="A1221" t="s">
        <v>1679</v>
      </c>
      <c r="B1221" t="str">
        <f>"15021010      "</f>
        <v xml:space="preserve">15021010      </v>
      </c>
      <c r="C1221" t="s">
        <v>4716</v>
      </c>
      <c r="D1221" t="s">
        <v>4716</v>
      </c>
      <c r="E1221" t="s">
        <v>4728</v>
      </c>
      <c r="F1221" t="s">
        <v>4729</v>
      </c>
    </row>
    <row r="1222" spans="1:6" x14ac:dyDescent="0.25">
      <c r="A1222" t="s">
        <v>1679</v>
      </c>
      <c r="B1222" t="str">
        <f>"15021090      "</f>
        <v xml:space="preserve">15021090      </v>
      </c>
      <c r="C1222" t="s">
        <v>4175</v>
      </c>
      <c r="D1222" t="s">
        <v>4175</v>
      </c>
      <c r="E1222" t="s">
        <v>4730</v>
      </c>
      <c r="F1222" t="s">
        <v>4731</v>
      </c>
    </row>
    <row r="1223" spans="1:6" x14ac:dyDescent="0.25">
      <c r="A1223" t="s">
        <v>1679</v>
      </c>
      <c r="B1223" t="str">
        <f>"15029010      "</f>
        <v xml:space="preserve">15029010      </v>
      </c>
      <c r="C1223" t="s">
        <v>4721</v>
      </c>
      <c r="D1223" t="s">
        <v>4721</v>
      </c>
      <c r="E1223" t="s">
        <v>4732</v>
      </c>
      <c r="F1223" t="s">
        <v>4733</v>
      </c>
    </row>
    <row r="1224" spans="1:6" x14ac:dyDescent="0.25">
      <c r="A1224" t="s">
        <v>1679</v>
      </c>
      <c r="B1224" t="str">
        <f>"15029090      "</f>
        <v xml:space="preserve">15029090      </v>
      </c>
      <c r="C1224" t="s">
        <v>4175</v>
      </c>
      <c r="D1224" t="s">
        <v>4175</v>
      </c>
      <c r="E1224" t="s">
        <v>4734</v>
      </c>
      <c r="F1224" t="s">
        <v>4735</v>
      </c>
    </row>
    <row r="1225" spans="1:6" x14ac:dyDescent="0.25">
      <c r="A1225" t="s">
        <v>1679</v>
      </c>
      <c r="B1225" t="str">
        <f>"15030011      "</f>
        <v xml:space="preserve">15030011      </v>
      </c>
      <c r="C1225" t="s">
        <v>4736</v>
      </c>
      <c r="D1225" t="s">
        <v>4736</v>
      </c>
      <c r="E1225" t="s">
        <v>4737</v>
      </c>
      <c r="F1225" t="s">
        <v>4738</v>
      </c>
    </row>
    <row r="1226" spans="1:6" x14ac:dyDescent="0.25">
      <c r="A1226" t="s">
        <v>1679</v>
      </c>
      <c r="B1226" t="str">
        <f>"15030019      "</f>
        <v xml:space="preserve">15030019      </v>
      </c>
      <c r="C1226" t="s">
        <v>4175</v>
      </c>
      <c r="D1226" t="s">
        <v>4175</v>
      </c>
      <c r="E1226" t="s">
        <v>4739</v>
      </c>
      <c r="F1226" t="s">
        <v>4740</v>
      </c>
    </row>
    <row r="1227" spans="1:6" x14ac:dyDescent="0.25">
      <c r="A1227" t="s">
        <v>1679</v>
      </c>
      <c r="B1227" t="str">
        <f>"15030030      "</f>
        <v xml:space="preserve">15030030      </v>
      </c>
      <c r="C1227" t="s">
        <v>4741</v>
      </c>
      <c r="D1227" t="s">
        <v>4741</v>
      </c>
      <c r="E1227" t="s">
        <v>4742</v>
      </c>
      <c r="F1227" t="s">
        <v>4743</v>
      </c>
    </row>
    <row r="1228" spans="1:6" x14ac:dyDescent="0.25">
      <c r="A1228" t="s">
        <v>1679</v>
      </c>
      <c r="B1228" t="str">
        <f>"15030090      "</f>
        <v xml:space="preserve">15030090      </v>
      </c>
      <c r="C1228" t="s">
        <v>4175</v>
      </c>
      <c r="D1228" t="s">
        <v>4175</v>
      </c>
      <c r="E1228" t="s">
        <v>4744</v>
      </c>
      <c r="F1228" t="s">
        <v>4745</v>
      </c>
    </row>
    <row r="1229" spans="1:6" x14ac:dyDescent="0.25">
      <c r="A1229" t="s">
        <v>1679</v>
      </c>
      <c r="B1229" t="str">
        <f>"15041010      "</f>
        <v xml:space="preserve">15041010      </v>
      </c>
      <c r="C1229" t="s">
        <v>4746</v>
      </c>
      <c r="D1229" t="s">
        <v>4746</v>
      </c>
      <c r="E1229" t="s">
        <v>4747</v>
      </c>
      <c r="F1229" t="s">
        <v>4748</v>
      </c>
    </row>
    <row r="1230" spans="1:6" x14ac:dyDescent="0.25">
      <c r="A1230" t="s">
        <v>1679</v>
      </c>
      <c r="B1230" t="str">
        <f>"15041091      "</f>
        <v xml:space="preserve">15041091      </v>
      </c>
      <c r="C1230" t="s">
        <v>4749</v>
      </c>
      <c r="D1230" t="s">
        <v>4749</v>
      </c>
      <c r="E1230" t="s">
        <v>4750</v>
      </c>
      <c r="F1230" t="s">
        <v>4751</v>
      </c>
    </row>
    <row r="1231" spans="1:6" x14ac:dyDescent="0.25">
      <c r="A1231" t="s">
        <v>1679</v>
      </c>
      <c r="B1231" t="str">
        <f>"15041099      "</f>
        <v xml:space="preserve">15041099      </v>
      </c>
      <c r="C1231" t="s">
        <v>4175</v>
      </c>
      <c r="D1231" t="s">
        <v>4175</v>
      </c>
      <c r="E1231" t="s">
        <v>4752</v>
      </c>
      <c r="F1231" t="s">
        <v>4753</v>
      </c>
    </row>
    <row r="1232" spans="1:6" x14ac:dyDescent="0.25">
      <c r="A1232" t="s">
        <v>1679</v>
      </c>
      <c r="B1232" t="str">
        <f>"15042010      "</f>
        <v xml:space="preserve">15042010      </v>
      </c>
      <c r="C1232" t="s">
        <v>4754</v>
      </c>
      <c r="D1232" t="s">
        <v>4754</v>
      </c>
      <c r="E1232" t="s">
        <v>4755</v>
      </c>
      <c r="F1232" t="s">
        <v>4756</v>
      </c>
    </row>
    <row r="1233" spans="1:6" x14ac:dyDescent="0.25">
      <c r="A1233" t="s">
        <v>1679</v>
      </c>
      <c r="B1233" t="str">
        <f>"15042090      "</f>
        <v xml:space="preserve">15042090      </v>
      </c>
      <c r="C1233" t="s">
        <v>4175</v>
      </c>
      <c r="D1233" t="s">
        <v>4175</v>
      </c>
      <c r="E1233" t="s">
        <v>4757</v>
      </c>
      <c r="F1233" t="s">
        <v>4758</v>
      </c>
    </row>
    <row r="1234" spans="1:6" x14ac:dyDescent="0.25">
      <c r="A1234" t="s">
        <v>1679</v>
      </c>
      <c r="B1234" t="str">
        <f>"15043010      "</f>
        <v xml:space="preserve">15043010      </v>
      </c>
      <c r="C1234" t="s">
        <v>4754</v>
      </c>
      <c r="D1234" t="s">
        <v>4754</v>
      </c>
      <c r="E1234" t="s">
        <v>4759</v>
      </c>
      <c r="F1234" t="s">
        <v>4760</v>
      </c>
    </row>
    <row r="1235" spans="1:6" x14ac:dyDescent="0.25">
      <c r="A1235" t="s">
        <v>1679</v>
      </c>
      <c r="B1235" t="str">
        <f>"15043090      "</f>
        <v xml:space="preserve">15043090      </v>
      </c>
      <c r="C1235" t="s">
        <v>4175</v>
      </c>
      <c r="D1235" t="s">
        <v>4175</v>
      </c>
      <c r="E1235" t="s">
        <v>4761</v>
      </c>
      <c r="F1235" t="s">
        <v>4762</v>
      </c>
    </row>
    <row r="1236" spans="1:6" x14ac:dyDescent="0.25">
      <c r="A1236" t="s">
        <v>1679</v>
      </c>
      <c r="B1236" t="str">
        <f>"15050010      "</f>
        <v xml:space="preserve">15050010      </v>
      </c>
      <c r="C1236" t="s">
        <v>4763</v>
      </c>
      <c r="D1236" t="s">
        <v>4763</v>
      </c>
      <c r="E1236" t="s">
        <v>4764</v>
      </c>
      <c r="F1236" t="s">
        <v>4765</v>
      </c>
    </row>
    <row r="1237" spans="1:6" x14ac:dyDescent="0.25">
      <c r="A1237" t="s">
        <v>1679</v>
      </c>
      <c r="B1237" t="str">
        <f>"15050090      "</f>
        <v xml:space="preserve">15050090      </v>
      </c>
      <c r="C1237" t="s">
        <v>4175</v>
      </c>
      <c r="D1237" t="s">
        <v>4175</v>
      </c>
      <c r="E1237" t="s">
        <v>4766</v>
      </c>
      <c r="F1237" t="s">
        <v>4767</v>
      </c>
    </row>
    <row r="1238" spans="1:6" x14ac:dyDescent="0.25">
      <c r="A1238" t="s">
        <v>1679</v>
      </c>
      <c r="B1238" t="str">
        <f>"15060000      "</f>
        <v xml:space="preserve">15060000      </v>
      </c>
      <c r="C1238" t="s">
        <v>4768</v>
      </c>
      <c r="D1238" t="s">
        <v>4768</v>
      </c>
      <c r="E1238" t="s">
        <v>4769</v>
      </c>
      <c r="F1238" t="s">
        <v>4770</v>
      </c>
    </row>
    <row r="1239" spans="1:6" x14ac:dyDescent="0.25">
      <c r="A1239" t="s">
        <v>1679</v>
      </c>
      <c r="B1239" t="str">
        <f>"15071010      "</f>
        <v xml:space="preserve">15071010      </v>
      </c>
      <c r="C1239" t="s">
        <v>4771</v>
      </c>
      <c r="D1239" t="s">
        <v>4771</v>
      </c>
      <c r="E1239" t="s">
        <v>4772</v>
      </c>
      <c r="F1239" t="s">
        <v>4773</v>
      </c>
    </row>
    <row r="1240" spans="1:6" x14ac:dyDescent="0.25">
      <c r="A1240" t="s">
        <v>1679</v>
      </c>
      <c r="B1240" t="str">
        <f>"15071090      "</f>
        <v xml:space="preserve">15071090      </v>
      </c>
      <c r="C1240" t="s">
        <v>4774</v>
      </c>
      <c r="D1240" t="s">
        <v>4774</v>
      </c>
      <c r="E1240" t="s">
        <v>4775</v>
      </c>
      <c r="F1240" t="s">
        <v>4776</v>
      </c>
    </row>
    <row r="1241" spans="1:6" x14ac:dyDescent="0.25">
      <c r="A1241" t="s">
        <v>1679</v>
      </c>
      <c r="B1241" t="str">
        <f>"15079010      "</f>
        <v xml:space="preserve">15079010      </v>
      </c>
      <c r="C1241" t="s">
        <v>4777</v>
      </c>
      <c r="D1241" t="s">
        <v>4777</v>
      </c>
      <c r="E1241" t="s">
        <v>4778</v>
      </c>
      <c r="F1241" t="s">
        <v>4779</v>
      </c>
    </row>
    <row r="1242" spans="1:6" x14ac:dyDescent="0.25">
      <c r="A1242" t="s">
        <v>1679</v>
      </c>
      <c r="B1242" t="str">
        <f>"15079090      "</f>
        <v xml:space="preserve">15079090      </v>
      </c>
      <c r="C1242" t="s">
        <v>4175</v>
      </c>
      <c r="D1242" t="s">
        <v>4175</v>
      </c>
      <c r="E1242" t="s">
        <v>4780</v>
      </c>
      <c r="F1242" t="s">
        <v>4781</v>
      </c>
    </row>
    <row r="1243" spans="1:6" x14ac:dyDescent="0.25">
      <c r="A1243" t="s">
        <v>1679</v>
      </c>
      <c r="B1243" t="str">
        <f>"15081010      "</f>
        <v xml:space="preserve">15081010      </v>
      </c>
      <c r="C1243" t="s">
        <v>4771</v>
      </c>
      <c r="D1243" t="s">
        <v>4771</v>
      </c>
      <c r="E1243" t="s">
        <v>4782</v>
      </c>
      <c r="F1243" t="s">
        <v>4783</v>
      </c>
    </row>
    <row r="1244" spans="1:6" x14ac:dyDescent="0.25">
      <c r="A1244" t="s">
        <v>1679</v>
      </c>
      <c r="B1244" t="str">
        <f>"15081090      "</f>
        <v xml:space="preserve">15081090      </v>
      </c>
      <c r="C1244" t="s">
        <v>4774</v>
      </c>
      <c r="D1244" t="s">
        <v>4774</v>
      </c>
      <c r="E1244" t="s">
        <v>4784</v>
      </c>
      <c r="F1244" t="s">
        <v>4785</v>
      </c>
    </row>
    <row r="1245" spans="1:6" x14ac:dyDescent="0.25">
      <c r="A1245" t="s">
        <v>1679</v>
      </c>
      <c r="B1245" t="str">
        <f>"15089010      "</f>
        <v xml:space="preserve">15089010      </v>
      </c>
      <c r="C1245" t="s">
        <v>4777</v>
      </c>
      <c r="D1245" t="s">
        <v>4777</v>
      </c>
      <c r="E1245" t="s">
        <v>4786</v>
      </c>
      <c r="F1245" t="s">
        <v>4787</v>
      </c>
    </row>
    <row r="1246" spans="1:6" x14ac:dyDescent="0.25">
      <c r="A1246" t="s">
        <v>1679</v>
      </c>
      <c r="B1246" t="str">
        <f>"15089090      "</f>
        <v xml:space="preserve">15089090      </v>
      </c>
      <c r="C1246" t="s">
        <v>4175</v>
      </c>
      <c r="D1246" t="s">
        <v>4175</v>
      </c>
      <c r="E1246" t="s">
        <v>4788</v>
      </c>
      <c r="F1246" t="s">
        <v>4789</v>
      </c>
    </row>
    <row r="1247" spans="1:6" x14ac:dyDescent="0.25">
      <c r="A1247" t="s">
        <v>1679</v>
      </c>
      <c r="B1247" t="str">
        <f>"15099000      "</f>
        <v xml:space="preserve">15099000      </v>
      </c>
      <c r="C1247" t="s">
        <v>4175</v>
      </c>
      <c r="D1247" t="s">
        <v>4175</v>
      </c>
      <c r="E1247" t="s">
        <v>4790</v>
      </c>
      <c r="F1247" t="s">
        <v>4791</v>
      </c>
    </row>
    <row r="1248" spans="1:6" x14ac:dyDescent="0.25">
      <c r="A1248" t="s">
        <v>1679</v>
      </c>
      <c r="B1248" t="str">
        <f>"15111010      "</f>
        <v xml:space="preserve">15111010      </v>
      </c>
      <c r="C1248" t="s">
        <v>4771</v>
      </c>
      <c r="D1248" t="s">
        <v>4771</v>
      </c>
      <c r="E1248" t="s">
        <v>4792</v>
      </c>
      <c r="F1248" t="s">
        <v>4793</v>
      </c>
    </row>
    <row r="1249" spans="1:6" x14ac:dyDescent="0.25">
      <c r="A1249" t="s">
        <v>1679</v>
      </c>
      <c r="B1249" t="str">
        <f>"15111090      "</f>
        <v xml:space="preserve">15111090      </v>
      </c>
      <c r="C1249" t="s">
        <v>4774</v>
      </c>
      <c r="D1249" t="s">
        <v>4774</v>
      </c>
      <c r="E1249" t="s">
        <v>4794</v>
      </c>
      <c r="F1249" t="s">
        <v>4795</v>
      </c>
    </row>
    <row r="1250" spans="1:6" x14ac:dyDescent="0.25">
      <c r="A1250" t="s">
        <v>1679</v>
      </c>
      <c r="B1250" t="str">
        <f>"15119011      "</f>
        <v xml:space="preserve">15119011      </v>
      </c>
      <c r="C1250" t="s">
        <v>4796</v>
      </c>
      <c r="D1250" t="s">
        <v>4796</v>
      </c>
      <c r="E1250" t="s">
        <v>4797</v>
      </c>
      <c r="F1250" t="s">
        <v>4798</v>
      </c>
    </row>
    <row r="1251" spans="1:6" x14ac:dyDescent="0.25">
      <c r="A1251" t="s">
        <v>1679</v>
      </c>
      <c r="B1251" t="str">
        <f>"15119019      "</f>
        <v xml:space="preserve">15119019      </v>
      </c>
      <c r="C1251" t="s">
        <v>4799</v>
      </c>
      <c r="D1251" t="s">
        <v>4799</v>
      </c>
      <c r="E1251" t="s">
        <v>4800</v>
      </c>
      <c r="F1251" t="s">
        <v>4801</v>
      </c>
    </row>
    <row r="1252" spans="1:6" x14ac:dyDescent="0.25">
      <c r="A1252" t="s">
        <v>1679</v>
      </c>
      <c r="B1252" t="str">
        <f>"15119091      "</f>
        <v xml:space="preserve">15119091      </v>
      </c>
      <c r="C1252" t="s">
        <v>4777</v>
      </c>
      <c r="D1252" t="s">
        <v>4777</v>
      </c>
      <c r="E1252" t="s">
        <v>4802</v>
      </c>
      <c r="F1252" t="s">
        <v>4803</v>
      </c>
    </row>
    <row r="1253" spans="1:6" x14ac:dyDescent="0.25">
      <c r="A1253" t="s">
        <v>1679</v>
      </c>
      <c r="B1253" t="str">
        <f>"15119099      "</f>
        <v xml:space="preserve">15119099      </v>
      </c>
      <c r="C1253" t="s">
        <v>4175</v>
      </c>
      <c r="D1253" t="s">
        <v>4175</v>
      </c>
      <c r="E1253" t="s">
        <v>4804</v>
      </c>
      <c r="F1253" t="s">
        <v>4805</v>
      </c>
    </row>
    <row r="1254" spans="1:6" x14ac:dyDescent="0.25">
      <c r="A1254" t="s">
        <v>1679</v>
      </c>
      <c r="B1254" t="str">
        <f>"15121110      "</f>
        <v xml:space="preserve">15121110      </v>
      </c>
      <c r="C1254" t="s">
        <v>4777</v>
      </c>
      <c r="D1254" t="s">
        <v>4777</v>
      </c>
      <c r="E1254" t="s">
        <v>4806</v>
      </c>
      <c r="F1254" t="s">
        <v>4807</v>
      </c>
    </row>
    <row r="1255" spans="1:6" x14ac:dyDescent="0.25">
      <c r="A1255" t="s">
        <v>1679</v>
      </c>
      <c r="B1255" t="str">
        <f>"15121191      "</f>
        <v xml:space="preserve">15121191      </v>
      </c>
      <c r="C1255" t="s">
        <v>4808</v>
      </c>
      <c r="D1255" t="s">
        <v>4808</v>
      </c>
      <c r="E1255" t="s">
        <v>4809</v>
      </c>
      <c r="F1255" t="s">
        <v>4810</v>
      </c>
    </row>
    <row r="1256" spans="1:6" x14ac:dyDescent="0.25">
      <c r="A1256" t="s">
        <v>1679</v>
      </c>
      <c r="B1256" t="str">
        <f>"15121199      "</f>
        <v xml:space="preserve">15121199      </v>
      </c>
      <c r="C1256" t="s">
        <v>4811</v>
      </c>
      <c r="D1256" t="s">
        <v>4811</v>
      </c>
      <c r="E1256" t="s">
        <v>4812</v>
      </c>
      <c r="F1256" t="s">
        <v>4813</v>
      </c>
    </row>
    <row r="1257" spans="1:6" x14ac:dyDescent="0.25">
      <c r="A1257" t="s">
        <v>1679</v>
      </c>
      <c r="B1257" t="str">
        <f>"15121910      "</f>
        <v xml:space="preserve">15121910      </v>
      </c>
      <c r="C1257" t="s">
        <v>4777</v>
      </c>
      <c r="D1257" t="s">
        <v>4777</v>
      </c>
      <c r="E1257" t="s">
        <v>4814</v>
      </c>
      <c r="F1257" t="s">
        <v>4815</v>
      </c>
    </row>
    <row r="1258" spans="1:6" x14ac:dyDescent="0.25">
      <c r="A1258" t="s">
        <v>1679</v>
      </c>
      <c r="B1258" t="str">
        <f>"15121990      "</f>
        <v xml:space="preserve">15121990      </v>
      </c>
      <c r="C1258" t="s">
        <v>4175</v>
      </c>
      <c r="D1258" t="s">
        <v>4175</v>
      </c>
      <c r="E1258" t="s">
        <v>4816</v>
      </c>
      <c r="F1258" t="s">
        <v>4817</v>
      </c>
    </row>
    <row r="1259" spans="1:6" x14ac:dyDescent="0.25">
      <c r="A1259" t="s">
        <v>1679</v>
      </c>
      <c r="B1259" t="str">
        <f>"15122110      "</f>
        <v xml:space="preserve">15122110      </v>
      </c>
      <c r="C1259" t="s">
        <v>4771</v>
      </c>
      <c r="D1259" t="s">
        <v>4771</v>
      </c>
      <c r="E1259" t="s">
        <v>4818</v>
      </c>
      <c r="F1259" t="s">
        <v>4819</v>
      </c>
    </row>
    <row r="1260" spans="1:6" x14ac:dyDescent="0.25">
      <c r="A1260" t="s">
        <v>1679</v>
      </c>
      <c r="B1260" t="str">
        <f>"15122190      "</f>
        <v xml:space="preserve">15122190      </v>
      </c>
      <c r="C1260" t="s">
        <v>4774</v>
      </c>
      <c r="D1260" t="s">
        <v>4774</v>
      </c>
      <c r="E1260" t="s">
        <v>4820</v>
      </c>
      <c r="F1260" t="s">
        <v>4821</v>
      </c>
    </row>
    <row r="1261" spans="1:6" x14ac:dyDescent="0.25">
      <c r="A1261" t="s">
        <v>1679</v>
      </c>
      <c r="B1261" t="str">
        <f>"15122910      "</f>
        <v xml:space="preserve">15122910      </v>
      </c>
      <c r="C1261" t="s">
        <v>4777</v>
      </c>
      <c r="D1261" t="s">
        <v>4777</v>
      </c>
      <c r="E1261" t="s">
        <v>4822</v>
      </c>
      <c r="F1261" t="s">
        <v>4823</v>
      </c>
    </row>
    <row r="1262" spans="1:6" x14ac:dyDescent="0.25">
      <c r="A1262" t="s">
        <v>1679</v>
      </c>
      <c r="B1262" t="str">
        <f>"15122990      "</f>
        <v xml:space="preserve">15122990      </v>
      </c>
      <c r="C1262" t="s">
        <v>4175</v>
      </c>
      <c r="D1262" t="s">
        <v>4175</v>
      </c>
      <c r="E1262" t="s">
        <v>4824</v>
      </c>
      <c r="F1262" t="s">
        <v>4825</v>
      </c>
    </row>
    <row r="1263" spans="1:6" x14ac:dyDescent="0.25">
      <c r="A1263" t="s">
        <v>1679</v>
      </c>
      <c r="B1263" t="str">
        <f>"15131110      "</f>
        <v xml:space="preserve">15131110      </v>
      </c>
      <c r="C1263" t="s">
        <v>4771</v>
      </c>
      <c r="D1263" t="s">
        <v>4771</v>
      </c>
      <c r="E1263" t="s">
        <v>4826</v>
      </c>
      <c r="F1263" t="s">
        <v>4827</v>
      </c>
    </row>
    <row r="1264" spans="1:6" x14ac:dyDescent="0.25">
      <c r="A1264" t="s">
        <v>1679</v>
      </c>
      <c r="B1264" t="str">
        <f>"15131191      "</f>
        <v xml:space="preserve">15131191      </v>
      </c>
      <c r="C1264" t="s">
        <v>4828</v>
      </c>
      <c r="D1264" t="s">
        <v>4828</v>
      </c>
      <c r="E1264" t="s">
        <v>4829</v>
      </c>
      <c r="F1264" t="s">
        <v>4830</v>
      </c>
    </row>
    <row r="1265" spans="1:6" x14ac:dyDescent="0.25">
      <c r="A1265" t="s">
        <v>1679</v>
      </c>
      <c r="B1265" t="str">
        <f>"15131199      "</f>
        <v xml:space="preserve">15131199      </v>
      </c>
      <c r="C1265" t="s">
        <v>4831</v>
      </c>
      <c r="D1265" t="s">
        <v>4831</v>
      </c>
      <c r="E1265" t="s">
        <v>4832</v>
      </c>
      <c r="F1265" t="s">
        <v>4833</v>
      </c>
    </row>
    <row r="1266" spans="1:6" x14ac:dyDescent="0.25">
      <c r="A1266" t="s">
        <v>1679</v>
      </c>
      <c r="B1266" t="str">
        <f>"15131911      "</f>
        <v xml:space="preserve">15131911      </v>
      </c>
      <c r="C1266" t="s">
        <v>4796</v>
      </c>
      <c r="D1266" t="s">
        <v>4796</v>
      </c>
      <c r="E1266" t="s">
        <v>4834</v>
      </c>
      <c r="F1266" t="s">
        <v>4835</v>
      </c>
    </row>
    <row r="1267" spans="1:6" x14ac:dyDescent="0.25">
      <c r="A1267" t="s">
        <v>1679</v>
      </c>
      <c r="B1267" t="str">
        <f>"15131919      "</f>
        <v xml:space="preserve">15131919      </v>
      </c>
      <c r="C1267" t="s">
        <v>4799</v>
      </c>
      <c r="D1267" t="s">
        <v>4799</v>
      </c>
      <c r="E1267" t="s">
        <v>4836</v>
      </c>
      <c r="F1267" t="s">
        <v>4837</v>
      </c>
    </row>
    <row r="1268" spans="1:6" x14ac:dyDescent="0.25">
      <c r="A1268" t="s">
        <v>1679</v>
      </c>
      <c r="B1268" t="str">
        <f>"15131930      "</f>
        <v xml:space="preserve">15131930      </v>
      </c>
      <c r="C1268" t="s">
        <v>4777</v>
      </c>
      <c r="D1268" t="s">
        <v>4777</v>
      </c>
      <c r="E1268" t="s">
        <v>4838</v>
      </c>
      <c r="F1268" t="s">
        <v>4839</v>
      </c>
    </row>
    <row r="1269" spans="1:6" x14ac:dyDescent="0.25">
      <c r="A1269" t="s">
        <v>1679</v>
      </c>
      <c r="B1269" t="str">
        <f>"15131991      "</f>
        <v xml:space="preserve">15131991      </v>
      </c>
      <c r="C1269" t="s">
        <v>4796</v>
      </c>
      <c r="D1269" t="s">
        <v>4796</v>
      </c>
      <c r="E1269" t="s">
        <v>4840</v>
      </c>
      <c r="F1269" t="s">
        <v>4841</v>
      </c>
    </row>
    <row r="1270" spans="1:6" x14ac:dyDescent="0.25">
      <c r="A1270" t="s">
        <v>1679</v>
      </c>
      <c r="B1270" t="str">
        <f>"15131999      "</f>
        <v xml:space="preserve">15131999      </v>
      </c>
      <c r="C1270" t="s">
        <v>4799</v>
      </c>
      <c r="D1270" t="s">
        <v>4799</v>
      </c>
      <c r="E1270" t="s">
        <v>4842</v>
      </c>
      <c r="F1270" t="s">
        <v>4843</v>
      </c>
    </row>
    <row r="1271" spans="1:6" x14ac:dyDescent="0.25">
      <c r="A1271" t="s">
        <v>1679</v>
      </c>
      <c r="B1271" t="str">
        <f>"15132110      "</f>
        <v xml:space="preserve">15132110      </v>
      </c>
      <c r="C1271" t="s">
        <v>4777</v>
      </c>
      <c r="D1271" t="s">
        <v>4777</v>
      </c>
      <c r="E1271" t="s">
        <v>4844</v>
      </c>
      <c r="F1271" t="s">
        <v>4845</v>
      </c>
    </row>
    <row r="1272" spans="1:6" x14ac:dyDescent="0.25">
      <c r="A1272" t="s">
        <v>1679</v>
      </c>
      <c r="B1272" t="str">
        <f>"15132130      "</f>
        <v xml:space="preserve">15132130      </v>
      </c>
      <c r="C1272" t="s">
        <v>4796</v>
      </c>
      <c r="D1272" t="s">
        <v>4796</v>
      </c>
      <c r="E1272" t="s">
        <v>4846</v>
      </c>
      <c r="F1272" t="s">
        <v>4847</v>
      </c>
    </row>
    <row r="1273" spans="1:6" x14ac:dyDescent="0.25">
      <c r="A1273" t="s">
        <v>1679</v>
      </c>
      <c r="B1273" t="str">
        <f>"15132190      "</f>
        <v xml:space="preserve">15132190      </v>
      </c>
      <c r="C1273" t="s">
        <v>4799</v>
      </c>
      <c r="D1273" t="s">
        <v>4799</v>
      </c>
      <c r="E1273" t="s">
        <v>4848</v>
      </c>
      <c r="F1273" t="s">
        <v>4849</v>
      </c>
    </row>
    <row r="1274" spans="1:6" x14ac:dyDescent="0.25">
      <c r="A1274" t="s">
        <v>1679</v>
      </c>
      <c r="B1274" t="str">
        <f>"15132911      "</f>
        <v xml:space="preserve">15132911      </v>
      </c>
      <c r="C1274" t="s">
        <v>4796</v>
      </c>
      <c r="D1274" t="s">
        <v>4796</v>
      </c>
      <c r="E1274" t="s">
        <v>4850</v>
      </c>
      <c r="F1274" t="s">
        <v>4851</v>
      </c>
    </row>
    <row r="1275" spans="1:6" x14ac:dyDescent="0.25">
      <c r="A1275" t="s">
        <v>1679</v>
      </c>
      <c r="B1275" t="str">
        <f>"15132919      "</f>
        <v xml:space="preserve">15132919      </v>
      </c>
      <c r="C1275" t="s">
        <v>4799</v>
      </c>
      <c r="D1275" t="s">
        <v>4799</v>
      </c>
      <c r="E1275" t="s">
        <v>4852</v>
      </c>
      <c r="F1275" t="s">
        <v>4853</v>
      </c>
    </row>
    <row r="1276" spans="1:6" x14ac:dyDescent="0.25">
      <c r="A1276" t="s">
        <v>1679</v>
      </c>
      <c r="B1276" t="str">
        <f>"15132930      "</f>
        <v xml:space="preserve">15132930      </v>
      </c>
      <c r="C1276" t="s">
        <v>4777</v>
      </c>
      <c r="D1276" t="s">
        <v>4777</v>
      </c>
      <c r="E1276" t="s">
        <v>4854</v>
      </c>
      <c r="F1276" t="s">
        <v>4855</v>
      </c>
    </row>
    <row r="1277" spans="1:6" x14ac:dyDescent="0.25">
      <c r="A1277" t="s">
        <v>1679</v>
      </c>
      <c r="B1277" t="str">
        <f>"15132950      "</f>
        <v xml:space="preserve">15132950      </v>
      </c>
      <c r="C1277" t="s">
        <v>4796</v>
      </c>
      <c r="D1277" t="s">
        <v>4796</v>
      </c>
      <c r="E1277" t="s">
        <v>4856</v>
      </c>
      <c r="F1277" t="s">
        <v>4857</v>
      </c>
    </row>
    <row r="1278" spans="1:6" x14ac:dyDescent="0.25">
      <c r="A1278" t="s">
        <v>1679</v>
      </c>
      <c r="B1278" t="str">
        <f>"15132990      "</f>
        <v xml:space="preserve">15132990      </v>
      </c>
      <c r="C1278" t="s">
        <v>4799</v>
      </c>
      <c r="D1278" t="s">
        <v>4799</v>
      </c>
      <c r="E1278" t="s">
        <v>4858</v>
      </c>
      <c r="F1278" t="s">
        <v>4859</v>
      </c>
    </row>
    <row r="1279" spans="1:6" x14ac:dyDescent="0.25">
      <c r="A1279" t="s">
        <v>1679</v>
      </c>
      <c r="B1279" t="str">
        <f>"15141110      "</f>
        <v xml:space="preserve">15141110      </v>
      </c>
      <c r="C1279" t="s">
        <v>4777</v>
      </c>
      <c r="D1279" t="s">
        <v>4777</v>
      </c>
      <c r="E1279" t="s">
        <v>4860</v>
      </c>
      <c r="F1279" t="s">
        <v>4861</v>
      </c>
    </row>
    <row r="1280" spans="1:6" x14ac:dyDescent="0.25">
      <c r="A1280" t="s">
        <v>1679</v>
      </c>
      <c r="B1280" t="str">
        <f>"15141190      "</f>
        <v xml:space="preserve">15141190      </v>
      </c>
      <c r="C1280" t="s">
        <v>4175</v>
      </c>
      <c r="D1280" t="s">
        <v>4175</v>
      </c>
      <c r="E1280" t="s">
        <v>4862</v>
      </c>
      <c r="F1280" t="s">
        <v>4863</v>
      </c>
    </row>
    <row r="1281" spans="1:6" x14ac:dyDescent="0.25">
      <c r="A1281" t="s">
        <v>1679</v>
      </c>
      <c r="B1281" t="str">
        <f>"15141910      "</f>
        <v xml:space="preserve">15141910      </v>
      </c>
      <c r="C1281" t="s">
        <v>4777</v>
      </c>
      <c r="D1281" t="s">
        <v>4777</v>
      </c>
      <c r="E1281" t="s">
        <v>4864</v>
      </c>
      <c r="F1281" t="s">
        <v>4865</v>
      </c>
    </row>
    <row r="1282" spans="1:6" x14ac:dyDescent="0.25">
      <c r="A1282" t="s">
        <v>1679</v>
      </c>
      <c r="B1282" t="str">
        <f>"15141990      "</f>
        <v xml:space="preserve">15141990      </v>
      </c>
      <c r="C1282" t="s">
        <v>4175</v>
      </c>
      <c r="D1282" t="s">
        <v>4175</v>
      </c>
      <c r="E1282" t="s">
        <v>4866</v>
      </c>
      <c r="F1282" t="s">
        <v>4867</v>
      </c>
    </row>
    <row r="1283" spans="1:6" x14ac:dyDescent="0.25">
      <c r="A1283" t="s">
        <v>1679</v>
      </c>
      <c r="B1283" t="str">
        <f>"15149110      "</f>
        <v xml:space="preserve">15149110      </v>
      </c>
      <c r="C1283" t="s">
        <v>4777</v>
      </c>
      <c r="D1283" t="s">
        <v>4777</v>
      </c>
      <c r="E1283" t="s">
        <v>4868</v>
      </c>
      <c r="F1283" t="s">
        <v>4869</v>
      </c>
    </row>
    <row r="1284" spans="1:6" x14ac:dyDescent="0.25">
      <c r="A1284" t="s">
        <v>1679</v>
      </c>
      <c r="B1284" t="str">
        <f>"15149190      "</f>
        <v xml:space="preserve">15149190      </v>
      </c>
      <c r="C1284" t="s">
        <v>4175</v>
      </c>
      <c r="D1284" t="s">
        <v>4175</v>
      </c>
      <c r="E1284" t="s">
        <v>4870</v>
      </c>
      <c r="F1284" t="s">
        <v>4871</v>
      </c>
    </row>
    <row r="1285" spans="1:6" x14ac:dyDescent="0.25">
      <c r="A1285" t="s">
        <v>1679</v>
      </c>
      <c r="B1285" t="str">
        <f>"15149910      "</f>
        <v xml:space="preserve">15149910      </v>
      </c>
      <c r="C1285" t="s">
        <v>4777</v>
      </c>
      <c r="D1285" t="s">
        <v>4777</v>
      </c>
      <c r="E1285" t="s">
        <v>4872</v>
      </c>
      <c r="F1285" t="s">
        <v>4873</v>
      </c>
    </row>
    <row r="1286" spans="1:6" x14ac:dyDescent="0.25">
      <c r="A1286" t="s">
        <v>1679</v>
      </c>
      <c r="B1286" t="str">
        <f>"15149990      "</f>
        <v xml:space="preserve">15149990      </v>
      </c>
      <c r="C1286" t="s">
        <v>4175</v>
      </c>
      <c r="D1286" t="s">
        <v>4175</v>
      </c>
      <c r="E1286" t="s">
        <v>4874</v>
      </c>
      <c r="F1286" t="s">
        <v>4875</v>
      </c>
    </row>
    <row r="1287" spans="1:6" x14ac:dyDescent="0.25">
      <c r="A1287" t="s">
        <v>1679</v>
      </c>
      <c r="B1287" t="str">
        <f>"15151100      "</f>
        <v xml:space="preserve">15151100      </v>
      </c>
      <c r="C1287" t="s">
        <v>4876</v>
      </c>
      <c r="D1287" t="s">
        <v>4876</v>
      </c>
      <c r="E1287" t="s">
        <v>4877</v>
      </c>
      <c r="F1287" t="s">
        <v>4878</v>
      </c>
    </row>
    <row r="1288" spans="1:6" x14ac:dyDescent="0.25">
      <c r="A1288" t="s">
        <v>1679</v>
      </c>
      <c r="B1288" t="str">
        <f>"15151910      "</f>
        <v xml:space="preserve">15151910      </v>
      </c>
      <c r="C1288" t="s">
        <v>4777</v>
      </c>
      <c r="D1288" t="s">
        <v>4777</v>
      </c>
      <c r="E1288" t="s">
        <v>4879</v>
      </c>
      <c r="F1288" t="s">
        <v>4880</v>
      </c>
    </row>
    <row r="1289" spans="1:6" x14ac:dyDescent="0.25">
      <c r="A1289" t="s">
        <v>1679</v>
      </c>
      <c r="B1289" t="str">
        <f>"15151990      "</f>
        <v xml:space="preserve">15151990      </v>
      </c>
      <c r="C1289" t="s">
        <v>4175</v>
      </c>
      <c r="D1289" t="s">
        <v>4175</v>
      </c>
      <c r="E1289" t="s">
        <v>4881</v>
      </c>
      <c r="F1289" t="s">
        <v>4882</v>
      </c>
    </row>
    <row r="1290" spans="1:6" x14ac:dyDescent="0.25">
      <c r="A1290" t="s">
        <v>1679</v>
      </c>
      <c r="B1290" t="str">
        <f>"15152110      "</f>
        <v xml:space="preserve">15152110      </v>
      </c>
      <c r="C1290" t="s">
        <v>4771</v>
      </c>
      <c r="D1290" t="s">
        <v>4771</v>
      </c>
      <c r="E1290" t="s">
        <v>4883</v>
      </c>
      <c r="F1290" t="s">
        <v>4884</v>
      </c>
    </row>
    <row r="1291" spans="1:6" x14ac:dyDescent="0.25">
      <c r="A1291" t="s">
        <v>1679</v>
      </c>
      <c r="B1291" t="str">
        <f>"15152190      "</f>
        <v xml:space="preserve">15152190      </v>
      </c>
      <c r="C1291" t="s">
        <v>4774</v>
      </c>
      <c r="D1291" t="s">
        <v>4774</v>
      </c>
      <c r="E1291" t="s">
        <v>4885</v>
      </c>
      <c r="F1291" t="s">
        <v>4886</v>
      </c>
    </row>
    <row r="1292" spans="1:6" x14ac:dyDescent="0.25">
      <c r="A1292" t="s">
        <v>1679</v>
      </c>
      <c r="B1292" t="str">
        <f>"15152910      "</f>
        <v xml:space="preserve">15152910      </v>
      </c>
      <c r="C1292" t="s">
        <v>4777</v>
      </c>
      <c r="D1292" t="s">
        <v>4777</v>
      </c>
      <c r="E1292" t="s">
        <v>4887</v>
      </c>
      <c r="F1292" t="s">
        <v>4888</v>
      </c>
    </row>
    <row r="1293" spans="1:6" x14ac:dyDescent="0.25">
      <c r="A1293" t="s">
        <v>1679</v>
      </c>
      <c r="B1293" t="str">
        <f>"15152990      "</f>
        <v xml:space="preserve">15152990      </v>
      </c>
      <c r="C1293" t="s">
        <v>4175</v>
      </c>
      <c r="D1293" t="s">
        <v>4175</v>
      </c>
      <c r="E1293" t="s">
        <v>4889</v>
      </c>
      <c r="F1293" t="s">
        <v>4890</v>
      </c>
    </row>
    <row r="1294" spans="1:6" x14ac:dyDescent="0.25">
      <c r="A1294" t="s">
        <v>1679</v>
      </c>
      <c r="B1294" t="str">
        <f>"15153010      "</f>
        <v xml:space="preserve">15153010      </v>
      </c>
      <c r="C1294" t="s">
        <v>4891</v>
      </c>
      <c r="D1294" t="s">
        <v>4891</v>
      </c>
      <c r="E1294" t="s">
        <v>4892</v>
      </c>
      <c r="F1294" t="s">
        <v>4893</v>
      </c>
    </row>
    <row r="1295" spans="1:6" x14ac:dyDescent="0.25">
      <c r="A1295" t="s">
        <v>1679</v>
      </c>
      <c r="B1295" t="str">
        <f>"15153090      "</f>
        <v xml:space="preserve">15153090      </v>
      </c>
      <c r="C1295" t="s">
        <v>4175</v>
      </c>
      <c r="D1295" t="s">
        <v>4175</v>
      </c>
      <c r="E1295" t="s">
        <v>4894</v>
      </c>
      <c r="F1295" t="s">
        <v>4895</v>
      </c>
    </row>
    <row r="1296" spans="1:6" x14ac:dyDescent="0.25">
      <c r="A1296" t="s">
        <v>1679</v>
      </c>
      <c r="B1296" t="str">
        <f>"15155011      "</f>
        <v xml:space="preserve">15155011      </v>
      </c>
      <c r="C1296" t="s">
        <v>4771</v>
      </c>
      <c r="D1296" t="s">
        <v>4771</v>
      </c>
      <c r="E1296" t="s">
        <v>4896</v>
      </c>
      <c r="F1296" t="s">
        <v>4897</v>
      </c>
    </row>
    <row r="1297" spans="1:6" x14ac:dyDescent="0.25">
      <c r="A1297" t="s">
        <v>1679</v>
      </c>
      <c r="B1297" t="str">
        <f>"15155019      "</f>
        <v xml:space="preserve">15155019      </v>
      </c>
      <c r="C1297" t="s">
        <v>4774</v>
      </c>
      <c r="D1297" t="s">
        <v>4774</v>
      </c>
      <c r="E1297" t="s">
        <v>4898</v>
      </c>
      <c r="F1297" t="s">
        <v>4899</v>
      </c>
    </row>
    <row r="1298" spans="1:6" x14ac:dyDescent="0.25">
      <c r="A1298" t="s">
        <v>1679</v>
      </c>
      <c r="B1298" t="str">
        <f>"15155091      "</f>
        <v xml:space="preserve">15155091      </v>
      </c>
      <c r="C1298" t="s">
        <v>4777</v>
      </c>
      <c r="D1298" t="s">
        <v>4777</v>
      </c>
      <c r="E1298" t="s">
        <v>4900</v>
      </c>
      <c r="F1298" t="s">
        <v>4901</v>
      </c>
    </row>
    <row r="1299" spans="1:6" x14ac:dyDescent="0.25">
      <c r="A1299" t="s">
        <v>1679</v>
      </c>
      <c r="B1299" t="str">
        <f>"15155099      "</f>
        <v xml:space="preserve">15155099      </v>
      </c>
      <c r="C1299" t="s">
        <v>4175</v>
      </c>
      <c r="D1299" t="s">
        <v>4175</v>
      </c>
      <c r="E1299" t="s">
        <v>4902</v>
      </c>
      <c r="F1299" t="s">
        <v>4903</v>
      </c>
    </row>
    <row r="1300" spans="1:6" x14ac:dyDescent="0.25">
      <c r="A1300" t="s">
        <v>1679</v>
      </c>
      <c r="B1300" t="str">
        <f>"15159011      "</f>
        <v xml:space="preserve">15159011      </v>
      </c>
      <c r="C1300" t="s">
        <v>4904</v>
      </c>
      <c r="D1300" t="s">
        <v>4904</v>
      </c>
      <c r="E1300" t="s">
        <v>4905</v>
      </c>
      <c r="F1300" t="s">
        <v>4906</v>
      </c>
    </row>
    <row r="1301" spans="1:6" x14ac:dyDescent="0.25">
      <c r="A1301" t="s">
        <v>1679</v>
      </c>
      <c r="B1301" t="str">
        <f>"15159021      "</f>
        <v xml:space="preserve">15159021      </v>
      </c>
      <c r="C1301" t="s">
        <v>4771</v>
      </c>
      <c r="D1301" t="s">
        <v>4771</v>
      </c>
      <c r="E1301" t="s">
        <v>4907</v>
      </c>
      <c r="F1301" t="s">
        <v>4908</v>
      </c>
    </row>
    <row r="1302" spans="1:6" x14ac:dyDescent="0.25">
      <c r="A1302" t="s">
        <v>1679</v>
      </c>
      <c r="B1302" t="str">
        <f>"15159029      "</f>
        <v xml:space="preserve">15159029      </v>
      </c>
      <c r="C1302" t="s">
        <v>4774</v>
      </c>
      <c r="D1302" t="s">
        <v>4774</v>
      </c>
      <c r="E1302" t="s">
        <v>4909</v>
      </c>
      <c r="F1302" t="s">
        <v>4910</v>
      </c>
    </row>
    <row r="1303" spans="1:6" x14ac:dyDescent="0.25">
      <c r="A1303" t="s">
        <v>1679</v>
      </c>
      <c r="B1303" t="str">
        <f>"15159031      "</f>
        <v xml:space="preserve">15159031      </v>
      </c>
      <c r="C1303" t="s">
        <v>4777</v>
      </c>
      <c r="D1303" t="s">
        <v>4777</v>
      </c>
      <c r="E1303" t="s">
        <v>4911</v>
      </c>
      <c r="F1303" t="s">
        <v>4912</v>
      </c>
    </row>
    <row r="1304" spans="1:6" x14ac:dyDescent="0.25">
      <c r="A1304" t="s">
        <v>1679</v>
      </c>
      <c r="B1304" t="str">
        <f>"15159039      "</f>
        <v xml:space="preserve">15159039      </v>
      </c>
      <c r="C1304" t="s">
        <v>4175</v>
      </c>
      <c r="D1304" t="s">
        <v>4175</v>
      </c>
      <c r="E1304" t="s">
        <v>4913</v>
      </c>
      <c r="F1304" t="s">
        <v>4914</v>
      </c>
    </row>
    <row r="1305" spans="1:6" x14ac:dyDescent="0.25">
      <c r="A1305" t="s">
        <v>1679</v>
      </c>
      <c r="B1305" t="str">
        <f>"15159040      "</f>
        <v xml:space="preserve">15159040      </v>
      </c>
      <c r="C1305" t="s">
        <v>4777</v>
      </c>
      <c r="D1305" t="s">
        <v>4777</v>
      </c>
      <c r="E1305" t="s">
        <v>4915</v>
      </c>
      <c r="F1305" t="s">
        <v>4916</v>
      </c>
    </row>
    <row r="1306" spans="1:6" x14ac:dyDescent="0.25">
      <c r="A1306" t="s">
        <v>1679</v>
      </c>
      <c r="B1306" t="str">
        <f>"15159051      "</f>
        <v xml:space="preserve">15159051      </v>
      </c>
      <c r="C1306" t="s">
        <v>4917</v>
      </c>
      <c r="D1306" t="s">
        <v>4917</v>
      </c>
      <c r="E1306" t="s">
        <v>4918</v>
      </c>
      <c r="F1306" t="s">
        <v>4919</v>
      </c>
    </row>
    <row r="1307" spans="1:6" x14ac:dyDescent="0.25">
      <c r="A1307" t="s">
        <v>1679</v>
      </c>
      <c r="B1307" t="str">
        <f>"15159059      "</f>
        <v xml:space="preserve">15159059      </v>
      </c>
      <c r="C1307" t="s">
        <v>4920</v>
      </c>
      <c r="D1307" t="s">
        <v>4920</v>
      </c>
      <c r="E1307" t="s">
        <v>4921</v>
      </c>
      <c r="F1307" t="s">
        <v>4922</v>
      </c>
    </row>
    <row r="1308" spans="1:6" x14ac:dyDescent="0.25">
      <c r="A1308" t="s">
        <v>1679</v>
      </c>
      <c r="B1308" t="str">
        <f>"15159060      "</f>
        <v xml:space="preserve">15159060      </v>
      </c>
      <c r="C1308" t="s">
        <v>4777</v>
      </c>
      <c r="D1308" t="s">
        <v>4777</v>
      </c>
      <c r="E1308" t="s">
        <v>4923</v>
      </c>
      <c r="F1308" t="s">
        <v>4924</v>
      </c>
    </row>
    <row r="1309" spans="1:6" x14ac:dyDescent="0.25">
      <c r="A1309" t="s">
        <v>1679</v>
      </c>
      <c r="B1309" t="str">
        <f>"15159091      "</f>
        <v xml:space="preserve">15159091      </v>
      </c>
      <c r="C1309" t="s">
        <v>4917</v>
      </c>
      <c r="D1309" t="s">
        <v>4917</v>
      </c>
      <c r="E1309" t="s">
        <v>4925</v>
      </c>
      <c r="F1309" t="s">
        <v>4926</v>
      </c>
    </row>
    <row r="1310" spans="1:6" x14ac:dyDescent="0.25">
      <c r="A1310" t="s">
        <v>1679</v>
      </c>
      <c r="B1310" t="str">
        <f>"15159099      "</f>
        <v xml:space="preserve">15159099      </v>
      </c>
      <c r="C1310" t="s">
        <v>4920</v>
      </c>
      <c r="D1310" t="s">
        <v>4920</v>
      </c>
      <c r="E1310" t="s">
        <v>4927</v>
      </c>
      <c r="F1310" t="s">
        <v>4928</v>
      </c>
    </row>
    <row r="1311" spans="1:6" x14ac:dyDescent="0.25">
      <c r="A1311" t="s">
        <v>1679</v>
      </c>
      <c r="B1311" t="str">
        <f>"15161010      "</f>
        <v xml:space="preserve">15161010      </v>
      </c>
      <c r="C1311" t="s">
        <v>4796</v>
      </c>
      <c r="D1311" t="s">
        <v>4796</v>
      </c>
      <c r="E1311" t="s">
        <v>4929</v>
      </c>
      <c r="F1311" t="s">
        <v>4930</v>
      </c>
    </row>
    <row r="1312" spans="1:6" x14ac:dyDescent="0.25">
      <c r="A1312" t="s">
        <v>1679</v>
      </c>
      <c r="B1312" t="str">
        <f>"15161090      "</f>
        <v xml:space="preserve">15161090      </v>
      </c>
      <c r="C1312" t="s">
        <v>4799</v>
      </c>
      <c r="D1312" t="s">
        <v>4799</v>
      </c>
      <c r="E1312" t="s">
        <v>4931</v>
      </c>
      <c r="F1312" t="s">
        <v>4932</v>
      </c>
    </row>
    <row r="1313" spans="1:6" x14ac:dyDescent="0.25">
      <c r="A1313" t="s">
        <v>1679</v>
      </c>
      <c r="B1313" t="str">
        <f>"15162010      "</f>
        <v xml:space="preserve">15162010      </v>
      </c>
      <c r="C1313" t="s">
        <v>4933</v>
      </c>
      <c r="D1313" t="s">
        <v>4933</v>
      </c>
      <c r="E1313" t="s">
        <v>4934</v>
      </c>
      <c r="F1313" t="s">
        <v>4935</v>
      </c>
    </row>
    <row r="1314" spans="1:6" x14ac:dyDescent="0.25">
      <c r="A1314" t="s">
        <v>1679</v>
      </c>
      <c r="B1314" t="str">
        <f>"15162091      "</f>
        <v xml:space="preserve">15162091      </v>
      </c>
      <c r="C1314" t="s">
        <v>4796</v>
      </c>
      <c r="D1314" t="s">
        <v>4796</v>
      </c>
      <c r="E1314" t="s">
        <v>4936</v>
      </c>
      <c r="F1314" t="s">
        <v>4937</v>
      </c>
    </row>
    <row r="1315" spans="1:6" x14ac:dyDescent="0.25">
      <c r="A1315" t="s">
        <v>1679</v>
      </c>
      <c r="B1315" t="str">
        <f>"15162095      "</f>
        <v xml:space="preserve">15162095      </v>
      </c>
      <c r="C1315" t="s">
        <v>4938</v>
      </c>
      <c r="D1315" t="s">
        <v>4938</v>
      </c>
      <c r="E1315" t="s">
        <v>4939</v>
      </c>
      <c r="F1315" t="s">
        <v>4940</v>
      </c>
    </row>
    <row r="1316" spans="1:6" x14ac:dyDescent="0.25">
      <c r="A1316" t="s">
        <v>1679</v>
      </c>
      <c r="B1316" t="str">
        <f>"15162096      "</f>
        <v xml:space="preserve">15162096      </v>
      </c>
      <c r="C1316" t="s">
        <v>4941</v>
      </c>
      <c r="D1316" t="s">
        <v>4941</v>
      </c>
      <c r="E1316" t="s">
        <v>4942</v>
      </c>
      <c r="F1316" t="s">
        <v>4943</v>
      </c>
    </row>
    <row r="1317" spans="1:6" x14ac:dyDescent="0.25">
      <c r="A1317" t="s">
        <v>1679</v>
      </c>
      <c r="B1317" t="str">
        <f>"15162098      "</f>
        <v xml:space="preserve">15162098      </v>
      </c>
      <c r="C1317" t="s">
        <v>4175</v>
      </c>
      <c r="D1317" t="s">
        <v>4175</v>
      </c>
      <c r="E1317" t="s">
        <v>4944</v>
      </c>
      <c r="F1317" t="s">
        <v>4945</v>
      </c>
    </row>
    <row r="1318" spans="1:6" x14ac:dyDescent="0.25">
      <c r="A1318" t="s">
        <v>1679</v>
      </c>
      <c r="B1318" t="str">
        <f>"15171010      "</f>
        <v xml:space="preserve">15171010      </v>
      </c>
      <c r="C1318" t="s">
        <v>4946</v>
      </c>
      <c r="D1318" t="s">
        <v>4946</v>
      </c>
      <c r="E1318" t="s">
        <v>4947</v>
      </c>
      <c r="F1318" t="s">
        <v>4948</v>
      </c>
    </row>
    <row r="1319" spans="1:6" x14ac:dyDescent="0.25">
      <c r="A1319" t="s">
        <v>1679</v>
      </c>
      <c r="B1319" t="str">
        <f>"15171090      "</f>
        <v xml:space="preserve">15171090      </v>
      </c>
      <c r="C1319" t="s">
        <v>4774</v>
      </c>
      <c r="D1319" t="s">
        <v>4774</v>
      </c>
      <c r="E1319" t="s">
        <v>4949</v>
      </c>
      <c r="F1319" t="s">
        <v>4950</v>
      </c>
    </row>
    <row r="1320" spans="1:6" x14ac:dyDescent="0.25">
      <c r="A1320" t="s">
        <v>1679</v>
      </c>
      <c r="B1320" t="str">
        <f>"15179010      "</f>
        <v xml:space="preserve">15179010      </v>
      </c>
      <c r="C1320" t="s">
        <v>4946</v>
      </c>
      <c r="D1320" t="s">
        <v>4946</v>
      </c>
      <c r="E1320" t="s">
        <v>4951</v>
      </c>
      <c r="F1320" t="s">
        <v>4952</v>
      </c>
    </row>
    <row r="1321" spans="1:6" x14ac:dyDescent="0.25">
      <c r="A1321" t="s">
        <v>1679</v>
      </c>
      <c r="B1321" t="str">
        <f>"15179091      "</f>
        <v xml:space="preserve">15179091      </v>
      </c>
      <c r="C1321" t="s">
        <v>4953</v>
      </c>
      <c r="D1321" t="s">
        <v>4953</v>
      </c>
      <c r="E1321" t="s">
        <v>4954</v>
      </c>
      <c r="F1321" t="s">
        <v>4955</v>
      </c>
    </row>
    <row r="1322" spans="1:6" x14ac:dyDescent="0.25">
      <c r="A1322" t="s">
        <v>1679</v>
      </c>
      <c r="B1322" t="str">
        <f>"15179093      "</f>
        <v xml:space="preserve">15179093      </v>
      </c>
      <c r="C1322" t="s">
        <v>4956</v>
      </c>
      <c r="D1322" t="s">
        <v>4956</v>
      </c>
      <c r="E1322" t="s">
        <v>4957</v>
      </c>
      <c r="F1322" t="s">
        <v>4958</v>
      </c>
    </row>
    <row r="1323" spans="1:6" x14ac:dyDescent="0.25">
      <c r="A1323" t="s">
        <v>1679</v>
      </c>
      <c r="B1323" t="str">
        <f>"15179099      "</f>
        <v xml:space="preserve">15179099      </v>
      </c>
      <c r="C1323" t="s">
        <v>4175</v>
      </c>
      <c r="D1323" t="s">
        <v>4175</v>
      </c>
      <c r="E1323" t="s">
        <v>4959</v>
      </c>
      <c r="F1323" t="s">
        <v>4960</v>
      </c>
    </row>
    <row r="1324" spans="1:6" x14ac:dyDescent="0.25">
      <c r="A1324" t="s">
        <v>1679</v>
      </c>
      <c r="B1324" t="str">
        <f>"15180010      "</f>
        <v xml:space="preserve">15180010      </v>
      </c>
      <c r="C1324" t="s">
        <v>4961</v>
      </c>
      <c r="D1324" t="s">
        <v>4961</v>
      </c>
      <c r="E1324" t="s">
        <v>4962</v>
      </c>
      <c r="F1324" t="s">
        <v>4963</v>
      </c>
    </row>
    <row r="1325" spans="1:6" x14ac:dyDescent="0.25">
      <c r="A1325" t="s">
        <v>1679</v>
      </c>
      <c r="B1325" t="str">
        <f>"15180031      "</f>
        <v xml:space="preserve">15180031      </v>
      </c>
      <c r="C1325" t="s">
        <v>4964</v>
      </c>
      <c r="D1325" t="s">
        <v>4964</v>
      </c>
      <c r="E1325" t="s">
        <v>4965</v>
      </c>
      <c r="F1325" t="s">
        <v>4966</v>
      </c>
    </row>
    <row r="1326" spans="1:6" x14ac:dyDescent="0.25">
      <c r="A1326" t="s">
        <v>1679</v>
      </c>
      <c r="B1326" t="str">
        <f>"15180039      "</f>
        <v xml:space="preserve">15180039      </v>
      </c>
      <c r="C1326" t="s">
        <v>4175</v>
      </c>
      <c r="D1326" t="s">
        <v>4175</v>
      </c>
      <c r="E1326" t="s">
        <v>4967</v>
      </c>
      <c r="F1326" t="s">
        <v>4968</v>
      </c>
    </row>
    <row r="1327" spans="1:6" x14ac:dyDescent="0.25">
      <c r="A1327" t="s">
        <v>1679</v>
      </c>
      <c r="B1327" t="str">
        <f>"15180091      "</f>
        <v xml:space="preserve">15180091      </v>
      </c>
      <c r="C1327" t="s">
        <v>4969</v>
      </c>
      <c r="D1327" t="s">
        <v>4970</v>
      </c>
      <c r="E1327" t="s">
        <v>4971</v>
      </c>
      <c r="F1327" t="s">
        <v>4972</v>
      </c>
    </row>
    <row r="1328" spans="1:6" x14ac:dyDescent="0.25">
      <c r="A1328" t="s">
        <v>1679</v>
      </c>
      <c r="B1328" t="str">
        <f>"15180095      "</f>
        <v xml:space="preserve">15180095      </v>
      </c>
      <c r="C1328" t="s">
        <v>4973</v>
      </c>
      <c r="D1328" t="s">
        <v>4974</v>
      </c>
      <c r="E1328" t="s">
        <v>4975</v>
      </c>
      <c r="F1328" t="s">
        <v>4976</v>
      </c>
    </row>
    <row r="1329" spans="1:6" x14ac:dyDescent="0.25">
      <c r="A1329" t="s">
        <v>1679</v>
      </c>
      <c r="B1329" t="str">
        <f>"15180099      "</f>
        <v xml:space="preserve">15180099      </v>
      </c>
      <c r="C1329" t="s">
        <v>4175</v>
      </c>
      <c r="D1329" t="s">
        <v>4175</v>
      </c>
      <c r="E1329" t="s">
        <v>4977</v>
      </c>
      <c r="F1329" t="s">
        <v>4978</v>
      </c>
    </row>
    <row r="1330" spans="1:6" x14ac:dyDescent="0.25">
      <c r="A1330" t="s">
        <v>1679</v>
      </c>
      <c r="B1330" t="str">
        <f>"15200000      "</f>
        <v xml:space="preserve">15200000      </v>
      </c>
      <c r="C1330" t="s">
        <v>4979</v>
      </c>
      <c r="D1330" t="s">
        <v>4979</v>
      </c>
      <c r="E1330" t="s">
        <v>4980</v>
      </c>
      <c r="F1330" t="s">
        <v>4981</v>
      </c>
    </row>
    <row r="1331" spans="1:6" x14ac:dyDescent="0.25">
      <c r="A1331" t="s">
        <v>1679</v>
      </c>
      <c r="B1331" t="str">
        <f>"15211000      "</f>
        <v xml:space="preserve">15211000      </v>
      </c>
      <c r="C1331" t="s">
        <v>4982</v>
      </c>
      <c r="D1331" t="s">
        <v>4982</v>
      </c>
      <c r="E1331" t="s">
        <v>4983</v>
      </c>
      <c r="F1331" t="s">
        <v>4984</v>
      </c>
    </row>
    <row r="1332" spans="1:6" x14ac:dyDescent="0.25">
      <c r="A1332" t="s">
        <v>1679</v>
      </c>
      <c r="B1332" t="str">
        <f>"15219010      "</f>
        <v xml:space="preserve">15219010      </v>
      </c>
      <c r="C1332" t="s">
        <v>4985</v>
      </c>
      <c r="D1332" t="s">
        <v>4985</v>
      </c>
      <c r="E1332" t="s">
        <v>4986</v>
      </c>
      <c r="F1332" t="s">
        <v>4987</v>
      </c>
    </row>
    <row r="1333" spans="1:6" x14ac:dyDescent="0.25">
      <c r="A1333" t="s">
        <v>1679</v>
      </c>
      <c r="B1333" t="str">
        <f>"15219091      "</f>
        <v xml:space="preserve">15219091      </v>
      </c>
      <c r="C1333" t="s">
        <v>4964</v>
      </c>
      <c r="D1333" t="s">
        <v>4964</v>
      </c>
      <c r="E1333" t="s">
        <v>4988</v>
      </c>
      <c r="F1333" t="s">
        <v>4989</v>
      </c>
    </row>
    <row r="1334" spans="1:6" x14ac:dyDescent="0.25">
      <c r="A1334" t="s">
        <v>1679</v>
      </c>
      <c r="B1334" t="str">
        <f>"15219099      "</f>
        <v xml:space="preserve">15219099      </v>
      </c>
      <c r="C1334" t="s">
        <v>4175</v>
      </c>
      <c r="D1334" t="s">
        <v>4175</v>
      </c>
      <c r="E1334" t="s">
        <v>4990</v>
      </c>
      <c r="F1334" t="s">
        <v>4991</v>
      </c>
    </row>
    <row r="1335" spans="1:6" x14ac:dyDescent="0.25">
      <c r="A1335" t="s">
        <v>1679</v>
      </c>
      <c r="B1335" t="str">
        <f>"15220010      "</f>
        <v xml:space="preserve">15220010      </v>
      </c>
      <c r="C1335" t="s">
        <v>4992</v>
      </c>
      <c r="D1335" t="s">
        <v>4992</v>
      </c>
      <c r="E1335" t="s">
        <v>4993</v>
      </c>
      <c r="F1335" t="s">
        <v>4994</v>
      </c>
    </row>
    <row r="1336" spans="1:6" x14ac:dyDescent="0.25">
      <c r="A1336" t="s">
        <v>1679</v>
      </c>
      <c r="B1336" t="str">
        <f>"15220031      "</f>
        <v xml:space="preserve">15220031      </v>
      </c>
      <c r="C1336" t="s">
        <v>4995</v>
      </c>
      <c r="D1336" t="s">
        <v>4995</v>
      </c>
      <c r="E1336" t="s">
        <v>4996</v>
      </c>
      <c r="F1336" t="s">
        <v>4997</v>
      </c>
    </row>
    <row r="1337" spans="1:6" x14ac:dyDescent="0.25">
      <c r="A1337" t="s">
        <v>1679</v>
      </c>
      <c r="B1337" t="str">
        <f>"15220039      "</f>
        <v xml:space="preserve">15220039      </v>
      </c>
      <c r="C1337" t="s">
        <v>4175</v>
      </c>
      <c r="D1337" t="s">
        <v>4175</v>
      </c>
      <c r="E1337" t="s">
        <v>4998</v>
      </c>
      <c r="F1337" t="s">
        <v>4999</v>
      </c>
    </row>
    <row r="1338" spans="1:6" x14ac:dyDescent="0.25">
      <c r="A1338" t="s">
        <v>1679</v>
      </c>
      <c r="B1338" t="str">
        <f>"15220091      "</f>
        <v xml:space="preserve">15220091      </v>
      </c>
      <c r="C1338" t="s">
        <v>5000</v>
      </c>
      <c r="D1338" t="s">
        <v>5000</v>
      </c>
      <c r="E1338" t="s">
        <v>5001</v>
      </c>
      <c r="F1338" t="s">
        <v>5002</v>
      </c>
    </row>
    <row r="1339" spans="1:6" x14ac:dyDescent="0.25">
      <c r="A1339" t="s">
        <v>1679</v>
      </c>
      <c r="B1339" t="str">
        <f>"15220099      "</f>
        <v xml:space="preserve">15220099      </v>
      </c>
      <c r="C1339" t="s">
        <v>4175</v>
      </c>
      <c r="D1339" t="s">
        <v>4175</v>
      </c>
      <c r="E1339" t="s">
        <v>5003</v>
      </c>
      <c r="F1339" t="s">
        <v>5004</v>
      </c>
    </row>
    <row r="1340" spans="1:6" x14ac:dyDescent="0.25">
      <c r="A1340" t="s">
        <v>1679</v>
      </c>
      <c r="B1340" t="str">
        <f>"16010010      "</f>
        <v xml:space="preserve">16010010      </v>
      </c>
      <c r="C1340" t="s">
        <v>5005</v>
      </c>
      <c r="D1340" t="s">
        <v>5005</v>
      </c>
      <c r="E1340" t="s">
        <v>5006</v>
      </c>
      <c r="F1340" t="s">
        <v>5007</v>
      </c>
    </row>
    <row r="1341" spans="1:6" x14ac:dyDescent="0.25">
      <c r="A1341" t="s">
        <v>1679</v>
      </c>
      <c r="B1341" t="str">
        <f>"16010091      "</f>
        <v xml:space="preserve">16010091      </v>
      </c>
      <c r="C1341" t="s">
        <v>5008</v>
      </c>
      <c r="D1341" t="s">
        <v>5008</v>
      </c>
      <c r="E1341" t="s">
        <v>5009</v>
      </c>
      <c r="F1341" t="s">
        <v>5010</v>
      </c>
    </row>
    <row r="1342" spans="1:6" x14ac:dyDescent="0.25">
      <c r="A1342" t="s">
        <v>1679</v>
      </c>
      <c r="B1342" t="str">
        <f>"16010099      "</f>
        <v xml:space="preserve">16010099      </v>
      </c>
      <c r="C1342" t="s">
        <v>4175</v>
      </c>
      <c r="D1342" t="s">
        <v>4175</v>
      </c>
      <c r="E1342" t="s">
        <v>5011</v>
      </c>
      <c r="F1342" t="s">
        <v>5012</v>
      </c>
    </row>
    <row r="1343" spans="1:6" x14ac:dyDescent="0.25">
      <c r="A1343" t="s">
        <v>1679</v>
      </c>
      <c r="B1343" t="str">
        <f>"16021000      "</f>
        <v xml:space="preserve">16021000      </v>
      </c>
      <c r="C1343" t="s">
        <v>5013</v>
      </c>
      <c r="D1343" t="s">
        <v>5013</v>
      </c>
      <c r="E1343" t="s">
        <v>5014</v>
      </c>
      <c r="F1343" t="s">
        <v>5015</v>
      </c>
    </row>
    <row r="1344" spans="1:6" x14ac:dyDescent="0.25">
      <c r="A1344" t="s">
        <v>1679</v>
      </c>
      <c r="B1344" t="str">
        <f>"16022010      "</f>
        <v xml:space="preserve">16022010      </v>
      </c>
      <c r="C1344" t="s">
        <v>5016</v>
      </c>
      <c r="D1344" t="s">
        <v>5016</v>
      </c>
      <c r="E1344" t="s">
        <v>5017</v>
      </c>
      <c r="F1344" t="s">
        <v>5018</v>
      </c>
    </row>
    <row r="1345" spans="1:6" x14ac:dyDescent="0.25">
      <c r="A1345" t="s">
        <v>1679</v>
      </c>
      <c r="B1345" t="str">
        <f>"16022090      "</f>
        <v xml:space="preserve">16022090      </v>
      </c>
      <c r="C1345" t="s">
        <v>4175</v>
      </c>
      <c r="D1345" t="s">
        <v>4175</v>
      </c>
      <c r="E1345" t="s">
        <v>5019</v>
      </c>
      <c r="F1345" t="s">
        <v>5020</v>
      </c>
    </row>
    <row r="1346" spans="1:6" x14ac:dyDescent="0.25">
      <c r="A1346" t="s">
        <v>1679</v>
      </c>
      <c r="B1346" t="str">
        <f>"16023111      "</f>
        <v xml:space="preserve">16023111      </v>
      </c>
      <c r="C1346" t="s">
        <v>5021</v>
      </c>
      <c r="D1346" t="s">
        <v>5021</v>
      </c>
      <c r="E1346" t="s">
        <v>5022</v>
      </c>
      <c r="F1346" t="s">
        <v>5023</v>
      </c>
    </row>
    <row r="1347" spans="1:6" x14ac:dyDescent="0.25">
      <c r="A1347" t="s">
        <v>1679</v>
      </c>
      <c r="B1347" t="str">
        <f>"16023119      "</f>
        <v xml:space="preserve">16023119      </v>
      </c>
      <c r="C1347" t="s">
        <v>4175</v>
      </c>
      <c r="D1347" t="s">
        <v>4175</v>
      </c>
      <c r="E1347" t="s">
        <v>5024</v>
      </c>
      <c r="F1347" t="s">
        <v>5025</v>
      </c>
    </row>
    <row r="1348" spans="1:6" x14ac:dyDescent="0.25">
      <c r="A1348" t="s">
        <v>1679</v>
      </c>
      <c r="B1348" t="str">
        <f>"16023180      "</f>
        <v xml:space="preserve">16023180      </v>
      </c>
      <c r="C1348" t="s">
        <v>4175</v>
      </c>
      <c r="D1348" t="s">
        <v>4175</v>
      </c>
      <c r="E1348" t="s">
        <v>5026</v>
      </c>
      <c r="F1348" t="s">
        <v>5027</v>
      </c>
    </row>
    <row r="1349" spans="1:6" x14ac:dyDescent="0.25">
      <c r="A1349" t="s">
        <v>1679</v>
      </c>
      <c r="B1349" t="str">
        <f>"16023211      "</f>
        <v xml:space="preserve">16023211      </v>
      </c>
      <c r="C1349" t="s">
        <v>5028</v>
      </c>
      <c r="D1349" t="s">
        <v>5028</v>
      </c>
      <c r="E1349" t="s">
        <v>5029</v>
      </c>
      <c r="F1349" t="s">
        <v>5030</v>
      </c>
    </row>
    <row r="1350" spans="1:6" x14ac:dyDescent="0.25">
      <c r="A1350" t="s">
        <v>1679</v>
      </c>
      <c r="B1350" t="str">
        <f>"16023219      "</f>
        <v xml:space="preserve">16023219      </v>
      </c>
      <c r="C1350" t="s">
        <v>4175</v>
      </c>
      <c r="D1350" t="s">
        <v>4175</v>
      </c>
      <c r="E1350" t="s">
        <v>5031</v>
      </c>
      <c r="F1350" t="s">
        <v>5032</v>
      </c>
    </row>
    <row r="1351" spans="1:6" x14ac:dyDescent="0.25">
      <c r="A1351" t="s">
        <v>1679</v>
      </c>
      <c r="B1351" t="str">
        <f>"16023230      "</f>
        <v xml:space="preserve">16023230      </v>
      </c>
      <c r="C1351" t="s">
        <v>5033</v>
      </c>
      <c r="D1351" t="s">
        <v>5033</v>
      </c>
      <c r="E1351" t="s">
        <v>5034</v>
      </c>
      <c r="F1351" t="s">
        <v>5035</v>
      </c>
    </row>
    <row r="1352" spans="1:6" x14ac:dyDescent="0.25">
      <c r="A1352" t="s">
        <v>1679</v>
      </c>
      <c r="B1352" t="str">
        <f>"16023290      "</f>
        <v xml:space="preserve">16023290      </v>
      </c>
      <c r="C1352" t="s">
        <v>4175</v>
      </c>
      <c r="D1352" t="s">
        <v>4175</v>
      </c>
      <c r="E1352" t="s">
        <v>5036</v>
      </c>
      <c r="F1352" t="s">
        <v>5037</v>
      </c>
    </row>
    <row r="1353" spans="1:6" x14ac:dyDescent="0.25">
      <c r="A1353" t="s">
        <v>1679</v>
      </c>
      <c r="B1353" t="str">
        <f>"16023921      "</f>
        <v xml:space="preserve">16023921      </v>
      </c>
      <c r="C1353" t="s">
        <v>5028</v>
      </c>
      <c r="D1353" t="s">
        <v>5028</v>
      </c>
      <c r="E1353" t="s">
        <v>5038</v>
      </c>
      <c r="F1353" t="s">
        <v>5039</v>
      </c>
    </row>
    <row r="1354" spans="1:6" x14ac:dyDescent="0.25">
      <c r="A1354" t="s">
        <v>1679</v>
      </c>
      <c r="B1354" t="str">
        <f>"16023929      "</f>
        <v xml:space="preserve">16023929      </v>
      </c>
      <c r="C1354" t="s">
        <v>4175</v>
      </c>
      <c r="D1354" t="s">
        <v>4175</v>
      </c>
      <c r="E1354" t="s">
        <v>5040</v>
      </c>
      <c r="F1354" t="s">
        <v>5041</v>
      </c>
    </row>
    <row r="1355" spans="1:6" x14ac:dyDescent="0.25">
      <c r="A1355" t="s">
        <v>1679</v>
      </c>
      <c r="B1355" t="str">
        <f>"16023985      "</f>
        <v xml:space="preserve">16023985      </v>
      </c>
      <c r="C1355" t="s">
        <v>4175</v>
      </c>
      <c r="D1355" t="s">
        <v>4175</v>
      </c>
      <c r="E1355" t="s">
        <v>5042</v>
      </c>
      <c r="F1355" t="s">
        <v>5043</v>
      </c>
    </row>
    <row r="1356" spans="1:6" x14ac:dyDescent="0.25">
      <c r="A1356" t="s">
        <v>1679</v>
      </c>
      <c r="B1356" t="str">
        <f>"16024110      "</f>
        <v xml:space="preserve">16024110      </v>
      </c>
      <c r="C1356" t="s">
        <v>5044</v>
      </c>
      <c r="D1356" t="s">
        <v>5044</v>
      </c>
      <c r="E1356" t="s">
        <v>5045</v>
      </c>
      <c r="F1356" t="s">
        <v>5046</v>
      </c>
    </row>
    <row r="1357" spans="1:6" x14ac:dyDescent="0.25">
      <c r="A1357" t="s">
        <v>1679</v>
      </c>
      <c r="B1357" t="str">
        <f>"16024190      "</f>
        <v xml:space="preserve">16024190      </v>
      </c>
      <c r="C1357" t="s">
        <v>4175</v>
      </c>
      <c r="D1357" t="s">
        <v>4175</v>
      </c>
      <c r="E1357" t="s">
        <v>5047</v>
      </c>
      <c r="F1357" t="s">
        <v>5048</v>
      </c>
    </row>
    <row r="1358" spans="1:6" x14ac:dyDescent="0.25">
      <c r="A1358" t="s">
        <v>1679</v>
      </c>
      <c r="B1358" t="str">
        <f>"16024210      "</f>
        <v xml:space="preserve">16024210      </v>
      </c>
      <c r="C1358" t="s">
        <v>5044</v>
      </c>
      <c r="D1358" t="s">
        <v>5044</v>
      </c>
      <c r="E1358" t="s">
        <v>5049</v>
      </c>
      <c r="F1358" t="s">
        <v>5050</v>
      </c>
    </row>
    <row r="1359" spans="1:6" x14ac:dyDescent="0.25">
      <c r="A1359" t="s">
        <v>1679</v>
      </c>
      <c r="B1359" t="str">
        <f>"16024290      "</f>
        <v xml:space="preserve">16024290      </v>
      </c>
      <c r="C1359" t="s">
        <v>4175</v>
      </c>
      <c r="D1359" t="s">
        <v>4175</v>
      </c>
      <c r="E1359" t="s">
        <v>5051</v>
      </c>
      <c r="F1359" t="s">
        <v>5052</v>
      </c>
    </row>
    <row r="1360" spans="1:6" x14ac:dyDescent="0.25">
      <c r="A1360" t="s">
        <v>1679</v>
      </c>
      <c r="B1360" t="str">
        <f>"16024911      "</f>
        <v xml:space="preserve">16024911      </v>
      </c>
      <c r="C1360" t="s">
        <v>5053</v>
      </c>
      <c r="D1360" t="s">
        <v>5053</v>
      </c>
      <c r="E1360" t="s">
        <v>5054</v>
      </c>
      <c r="F1360" t="s">
        <v>5055</v>
      </c>
    </row>
    <row r="1361" spans="1:6" x14ac:dyDescent="0.25">
      <c r="A1361" t="s">
        <v>1679</v>
      </c>
      <c r="B1361" t="str">
        <f>"16024913      "</f>
        <v xml:space="preserve">16024913      </v>
      </c>
      <c r="C1361" t="s">
        <v>5056</v>
      </c>
      <c r="D1361" t="s">
        <v>5056</v>
      </c>
      <c r="E1361" t="s">
        <v>5057</v>
      </c>
      <c r="F1361" t="s">
        <v>5058</v>
      </c>
    </row>
    <row r="1362" spans="1:6" x14ac:dyDescent="0.25">
      <c r="A1362" t="s">
        <v>1679</v>
      </c>
      <c r="B1362" t="str">
        <f>"16024915      "</f>
        <v xml:space="preserve">16024915      </v>
      </c>
      <c r="C1362" t="s">
        <v>5059</v>
      </c>
      <c r="D1362" t="s">
        <v>5059</v>
      </c>
      <c r="E1362" t="s">
        <v>5060</v>
      </c>
      <c r="F1362" t="s">
        <v>5061</v>
      </c>
    </row>
    <row r="1363" spans="1:6" x14ac:dyDescent="0.25">
      <c r="A1363" t="s">
        <v>1679</v>
      </c>
      <c r="B1363" t="str">
        <f>"16024919      "</f>
        <v xml:space="preserve">16024919      </v>
      </c>
      <c r="C1363" t="s">
        <v>4175</v>
      </c>
      <c r="D1363" t="s">
        <v>4175</v>
      </c>
      <c r="E1363" t="s">
        <v>5062</v>
      </c>
      <c r="F1363" t="s">
        <v>5063</v>
      </c>
    </row>
    <row r="1364" spans="1:6" x14ac:dyDescent="0.25">
      <c r="A1364" t="s">
        <v>1679</v>
      </c>
      <c r="B1364" t="str">
        <f>"16024930      "</f>
        <v xml:space="preserve">16024930      </v>
      </c>
      <c r="C1364" t="s">
        <v>5064</v>
      </c>
      <c r="D1364" t="s">
        <v>5064</v>
      </c>
      <c r="E1364" t="s">
        <v>5065</v>
      </c>
      <c r="F1364" t="s">
        <v>5066</v>
      </c>
    </row>
    <row r="1365" spans="1:6" x14ac:dyDescent="0.25">
      <c r="A1365" t="s">
        <v>1679</v>
      </c>
      <c r="B1365" t="str">
        <f>"16024950      "</f>
        <v xml:space="preserve">16024950      </v>
      </c>
      <c r="C1365" t="s">
        <v>5067</v>
      </c>
      <c r="D1365" t="s">
        <v>5067</v>
      </c>
      <c r="E1365" t="s">
        <v>5068</v>
      </c>
      <c r="F1365" t="s">
        <v>5069</v>
      </c>
    </row>
    <row r="1366" spans="1:6" x14ac:dyDescent="0.25">
      <c r="A1366" t="s">
        <v>1679</v>
      </c>
      <c r="B1366" t="str">
        <f>"16024990      "</f>
        <v xml:space="preserve">16024990      </v>
      </c>
      <c r="C1366" t="s">
        <v>4175</v>
      </c>
      <c r="D1366" t="s">
        <v>4175</v>
      </c>
      <c r="E1366" t="s">
        <v>5070</v>
      </c>
      <c r="F1366" t="s">
        <v>5071</v>
      </c>
    </row>
    <row r="1367" spans="1:6" x14ac:dyDescent="0.25">
      <c r="A1367" t="s">
        <v>1679</v>
      </c>
      <c r="B1367" t="str">
        <f>"16025010      "</f>
        <v xml:space="preserve">16025010      </v>
      </c>
      <c r="C1367" t="s">
        <v>5072</v>
      </c>
      <c r="D1367" t="s">
        <v>5072</v>
      </c>
      <c r="E1367" t="s">
        <v>5073</v>
      </c>
      <c r="F1367" t="s">
        <v>5074</v>
      </c>
    </row>
    <row r="1368" spans="1:6" x14ac:dyDescent="0.25">
      <c r="A1368" t="s">
        <v>1679</v>
      </c>
      <c r="B1368" t="str">
        <f>"16025031      "</f>
        <v xml:space="preserve">16025031      </v>
      </c>
      <c r="C1368" t="s">
        <v>5075</v>
      </c>
      <c r="D1368" t="s">
        <v>5075</v>
      </c>
      <c r="E1368" t="s">
        <v>5076</v>
      </c>
      <c r="F1368" t="s">
        <v>5077</v>
      </c>
    </row>
    <row r="1369" spans="1:6" x14ac:dyDescent="0.25">
      <c r="A1369" t="s">
        <v>1679</v>
      </c>
      <c r="B1369" t="str">
        <f>"16025095      "</f>
        <v xml:space="preserve">16025095      </v>
      </c>
      <c r="C1369" t="s">
        <v>4175</v>
      </c>
      <c r="D1369" t="s">
        <v>4175</v>
      </c>
      <c r="E1369" t="s">
        <v>5078</v>
      </c>
      <c r="F1369" t="s">
        <v>5079</v>
      </c>
    </row>
    <row r="1370" spans="1:6" x14ac:dyDescent="0.25">
      <c r="A1370" t="s">
        <v>1679</v>
      </c>
      <c r="B1370" t="str">
        <f>"16029010      "</f>
        <v xml:space="preserve">16029010      </v>
      </c>
      <c r="C1370" t="s">
        <v>5080</v>
      </c>
      <c r="D1370" t="s">
        <v>5080</v>
      </c>
      <c r="E1370" t="s">
        <v>5081</v>
      </c>
      <c r="F1370" t="s">
        <v>5082</v>
      </c>
    </row>
    <row r="1371" spans="1:6" x14ac:dyDescent="0.25">
      <c r="A1371" t="s">
        <v>1679</v>
      </c>
      <c r="B1371" t="str">
        <f>"16029031      "</f>
        <v xml:space="preserve">16029031      </v>
      </c>
      <c r="C1371" t="s">
        <v>5083</v>
      </c>
      <c r="D1371" t="s">
        <v>5083</v>
      </c>
      <c r="E1371" t="s">
        <v>5084</v>
      </c>
      <c r="F1371" t="s">
        <v>5085</v>
      </c>
    </row>
    <row r="1372" spans="1:6" x14ac:dyDescent="0.25">
      <c r="A1372" t="s">
        <v>1679</v>
      </c>
      <c r="B1372" t="str">
        <f>"16029051      "</f>
        <v xml:space="preserve">16029051      </v>
      </c>
      <c r="C1372" t="s">
        <v>5086</v>
      </c>
      <c r="D1372" t="s">
        <v>5086</v>
      </c>
      <c r="E1372" t="s">
        <v>5087</v>
      </c>
      <c r="F1372" t="s">
        <v>5088</v>
      </c>
    </row>
    <row r="1373" spans="1:6" x14ac:dyDescent="0.25">
      <c r="A1373" t="s">
        <v>1679</v>
      </c>
      <c r="B1373" t="str">
        <f>"16029061      "</f>
        <v xml:space="preserve">16029061      </v>
      </c>
      <c r="C1373" t="s">
        <v>5072</v>
      </c>
      <c r="D1373" t="s">
        <v>5072</v>
      </c>
      <c r="E1373" t="s">
        <v>5089</v>
      </c>
      <c r="F1373" t="s">
        <v>5090</v>
      </c>
    </row>
    <row r="1374" spans="1:6" x14ac:dyDescent="0.25">
      <c r="A1374" t="s">
        <v>1679</v>
      </c>
      <c r="B1374" t="str">
        <f>"16029069      "</f>
        <v xml:space="preserve">16029069      </v>
      </c>
      <c r="C1374" t="s">
        <v>4175</v>
      </c>
      <c r="D1374" t="s">
        <v>4175</v>
      </c>
      <c r="E1374" t="s">
        <v>5091</v>
      </c>
      <c r="F1374" t="s">
        <v>5092</v>
      </c>
    </row>
    <row r="1375" spans="1:6" x14ac:dyDescent="0.25">
      <c r="A1375" t="s">
        <v>1679</v>
      </c>
      <c r="B1375" t="str">
        <f>"16029091      "</f>
        <v xml:space="preserve">16029091      </v>
      </c>
      <c r="C1375" t="s">
        <v>5093</v>
      </c>
      <c r="D1375" t="s">
        <v>5093</v>
      </c>
      <c r="E1375" t="s">
        <v>5094</v>
      </c>
      <c r="F1375" t="s">
        <v>5095</v>
      </c>
    </row>
    <row r="1376" spans="1:6" x14ac:dyDescent="0.25">
      <c r="A1376" t="s">
        <v>1679</v>
      </c>
      <c r="B1376" t="str">
        <f>"16029095      "</f>
        <v xml:space="preserve">16029095      </v>
      </c>
      <c r="C1376" t="s">
        <v>5096</v>
      </c>
      <c r="D1376" t="s">
        <v>5096</v>
      </c>
      <c r="E1376" t="s">
        <v>5097</v>
      </c>
      <c r="F1376" t="s">
        <v>5098</v>
      </c>
    </row>
    <row r="1377" spans="1:6" x14ac:dyDescent="0.25">
      <c r="A1377" t="s">
        <v>1679</v>
      </c>
      <c r="B1377" t="str">
        <f>"16029099      "</f>
        <v xml:space="preserve">16029099      </v>
      </c>
      <c r="C1377" t="s">
        <v>4175</v>
      </c>
      <c r="D1377" t="s">
        <v>4175</v>
      </c>
      <c r="E1377" t="s">
        <v>5099</v>
      </c>
      <c r="F1377" t="s">
        <v>5100</v>
      </c>
    </row>
    <row r="1378" spans="1:6" x14ac:dyDescent="0.25">
      <c r="A1378" t="s">
        <v>1679</v>
      </c>
      <c r="B1378" t="str">
        <f>"16030010      "</f>
        <v xml:space="preserve">16030010      </v>
      </c>
      <c r="C1378" t="s">
        <v>5101</v>
      </c>
      <c r="D1378" t="s">
        <v>5101</v>
      </c>
      <c r="E1378" t="s">
        <v>5102</v>
      </c>
      <c r="F1378" t="s">
        <v>5103</v>
      </c>
    </row>
    <row r="1379" spans="1:6" x14ac:dyDescent="0.25">
      <c r="A1379" t="s">
        <v>1679</v>
      </c>
      <c r="B1379" t="str">
        <f>"16030080      "</f>
        <v xml:space="preserve">16030080      </v>
      </c>
      <c r="C1379" t="s">
        <v>4175</v>
      </c>
      <c r="D1379" t="s">
        <v>4175</v>
      </c>
      <c r="E1379" t="s">
        <v>5104</v>
      </c>
      <c r="F1379" t="s">
        <v>5105</v>
      </c>
    </row>
    <row r="1380" spans="1:6" x14ac:dyDescent="0.25">
      <c r="A1380" t="s">
        <v>1679</v>
      </c>
      <c r="B1380" t="str">
        <f>"16041100      "</f>
        <v xml:space="preserve">16041100      </v>
      </c>
      <c r="C1380" t="s">
        <v>5106</v>
      </c>
      <c r="D1380" t="s">
        <v>5106</v>
      </c>
      <c r="E1380" t="s">
        <v>5107</v>
      </c>
      <c r="F1380" t="s">
        <v>5108</v>
      </c>
    </row>
    <row r="1381" spans="1:6" x14ac:dyDescent="0.25">
      <c r="A1381" t="s">
        <v>1679</v>
      </c>
      <c r="B1381" t="str">
        <f>"16041210      "</f>
        <v xml:space="preserve">16041210      </v>
      </c>
      <c r="C1381" t="s">
        <v>5109</v>
      </c>
      <c r="D1381" t="s">
        <v>5109</v>
      </c>
      <c r="E1381" t="s">
        <v>5110</v>
      </c>
      <c r="F1381" t="s">
        <v>5111</v>
      </c>
    </row>
    <row r="1382" spans="1:6" x14ac:dyDescent="0.25">
      <c r="A1382" t="s">
        <v>1679</v>
      </c>
      <c r="B1382" t="str">
        <f>"16041291      "</f>
        <v xml:space="preserve">16041291      </v>
      </c>
      <c r="C1382" t="s">
        <v>5112</v>
      </c>
      <c r="D1382" t="s">
        <v>5112</v>
      </c>
      <c r="E1382" t="s">
        <v>5113</v>
      </c>
      <c r="F1382" t="s">
        <v>5114</v>
      </c>
    </row>
    <row r="1383" spans="1:6" x14ac:dyDescent="0.25">
      <c r="A1383" t="s">
        <v>1679</v>
      </c>
      <c r="B1383" t="str">
        <f>"16041299      "</f>
        <v xml:space="preserve">16041299      </v>
      </c>
      <c r="C1383" t="s">
        <v>4175</v>
      </c>
      <c r="D1383" t="s">
        <v>4175</v>
      </c>
      <c r="E1383" t="s">
        <v>5115</v>
      </c>
      <c r="F1383" t="s">
        <v>5116</v>
      </c>
    </row>
    <row r="1384" spans="1:6" x14ac:dyDescent="0.25">
      <c r="A1384" t="s">
        <v>1679</v>
      </c>
      <c r="B1384" t="str">
        <f>"16041311      "</f>
        <v xml:space="preserve">16041311      </v>
      </c>
      <c r="C1384" t="s">
        <v>5117</v>
      </c>
      <c r="D1384" t="s">
        <v>5117</v>
      </c>
      <c r="E1384" t="s">
        <v>5118</v>
      </c>
      <c r="F1384" t="s">
        <v>5119</v>
      </c>
    </row>
    <row r="1385" spans="1:6" x14ac:dyDescent="0.25">
      <c r="A1385" t="s">
        <v>1679</v>
      </c>
      <c r="B1385" t="str">
        <f>"16041319      "</f>
        <v xml:space="preserve">16041319      </v>
      </c>
      <c r="C1385" t="s">
        <v>4175</v>
      </c>
      <c r="D1385" t="s">
        <v>4175</v>
      </c>
      <c r="E1385" t="s">
        <v>5120</v>
      </c>
      <c r="F1385" t="s">
        <v>5121</v>
      </c>
    </row>
    <row r="1386" spans="1:6" x14ac:dyDescent="0.25">
      <c r="A1386" t="s">
        <v>1679</v>
      </c>
      <c r="B1386" t="str">
        <f>"16041390      "</f>
        <v xml:space="preserve">16041390      </v>
      </c>
      <c r="C1386" t="s">
        <v>4175</v>
      </c>
      <c r="D1386" t="s">
        <v>4175</v>
      </c>
      <c r="E1386" t="s">
        <v>5122</v>
      </c>
      <c r="F1386" t="s">
        <v>5123</v>
      </c>
    </row>
    <row r="1387" spans="1:6" x14ac:dyDescent="0.25">
      <c r="A1387" t="s">
        <v>1679</v>
      </c>
      <c r="B1387" t="str">
        <f>"16041421      "</f>
        <v xml:space="preserve">16041421      </v>
      </c>
      <c r="C1387" t="s">
        <v>5124</v>
      </c>
      <c r="D1387" t="s">
        <v>5124</v>
      </c>
      <c r="E1387" t="s">
        <v>5125</v>
      </c>
      <c r="F1387" t="s">
        <v>5126</v>
      </c>
    </row>
    <row r="1388" spans="1:6" x14ac:dyDescent="0.25">
      <c r="A1388" t="s">
        <v>1679</v>
      </c>
      <c r="B1388" t="str">
        <f>"16041426      "</f>
        <v xml:space="preserve">16041426      </v>
      </c>
      <c r="C1388" t="s">
        <v>5127</v>
      </c>
      <c r="D1388" t="s">
        <v>5127</v>
      </c>
      <c r="E1388" t="s">
        <v>5128</v>
      </c>
      <c r="F1388" t="s">
        <v>5129</v>
      </c>
    </row>
    <row r="1389" spans="1:6" x14ac:dyDescent="0.25">
      <c r="A1389" t="s">
        <v>1679</v>
      </c>
      <c r="B1389" t="str">
        <f>"16041428      "</f>
        <v xml:space="preserve">16041428      </v>
      </c>
      <c r="C1389" t="s">
        <v>4175</v>
      </c>
      <c r="D1389" t="s">
        <v>4175</v>
      </c>
      <c r="E1389" t="s">
        <v>5130</v>
      </c>
      <c r="F1389" t="s">
        <v>5131</v>
      </c>
    </row>
    <row r="1390" spans="1:6" x14ac:dyDescent="0.25">
      <c r="A1390" t="s">
        <v>1679</v>
      </c>
      <c r="B1390" t="str">
        <f>"16041431      "</f>
        <v xml:space="preserve">16041431      </v>
      </c>
      <c r="C1390" t="s">
        <v>5124</v>
      </c>
      <c r="D1390" t="s">
        <v>5124</v>
      </c>
      <c r="E1390" t="s">
        <v>5132</v>
      </c>
      <c r="F1390" t="s">
        <v>5133</v>
      </c>
    </row>
    <row r="1391" spans="1:6" x14ac:dyDescent="0.25">
      <c r="A1391" t="s">
        <v>1679</v>
      </c>
      <c r="B1391" t="str">
        <f>"16041436      "</f>
        <v xml:space="preserve">16041436      </v>
      </c>
      <c r="C1391" t="s">
        <v>5127</v>
      </c>
      <c r="D1391" t="s">
        <v>5127</v>
      </c>
      <c r="E1391" t="s">
        <v>5134</v>
      </c>
      <c r="F1391" t="s">
        <v>5135</v>
      </c>
    </row>
    <row r="1392" spans="1:6" x14ac:dyDescent="0.25">
      <c r="A1392" t="s">
        <v>1679</v>
      </c>
      <c r="B1392" t="str">
        <f>"16041438      "</f>
        <v xml:space="preserve">16041438      </v>
      </c>
      <c r="C1392" t="s">
        <v>4175</v>
      </c>
      <c r="D1392" t="s">
        <v>4175</v>
      </c>
      <c r="E1392" t="s">
        <v>5136</v>
      </c>
      <c r="F1392" t="s">
        <v>5137</v>
      </c>
    </row>
    <row r="1393" spans="1:6" x14ac:dyDescent="0.25">
      <c r="A1393" t="s">
        <v>1679</v>
      </c>
      <c r="B1393" t="str">
        <f>"16041441      "</f>
        <v xml:space="preserve">16041441      </v>
      </c>
      <c r="C1393" t="s">
        <v>5124</v>
      </c>
      <c r="D1393" t="s">
        <v>5124</v>
      </c>
      <c r="E1393" t="s">
        <v>5138</v>
      </c>
      <c r="F1393" t="s">
        <v>5139</v>
      </c>
    </row>
    <row r="1394" spans="1:6" x14ac:dyDescent="0.25">
      <c r="A1394" t="s">
        <v>1679</v>
      </c>
      <c r="B1394" t="str">
        <f>"16041446      "</f>
        <v xml:space="preserve">16041446      </v>
      </c>
      <c r="C1394" t="s">
        <v>5127</v>
      </c>
      <c r="D1394" t="s">
        <v>5127</v>
      </c>
      <c r="E1394" t="s">
        <v>5140</v>
      </c>
      <c r="F1394" t="s">
        <v>5141</v>
      </c>
    </row>
    <row r="1395" spans="1:6" x14ac:dyDescent="0.25">
      <c r="A1395" t="s">
        <v>1679</v>
      </c>
      <c r="B1395" t="str">
        <f>"16041448      "</f>
        <v xml:space="preserve">16041448      </v>
      </c>
      <c r="C1395" t="s">
        <v>4175</v>
      </c>
      <c r="D1395" t="s">
        <v>4175</v>
      </c>
      <c r="E1395" t="s">
        <v>5142</v>
      </c>
      <c r="F1395" t="s">
        <v>5143</v>
      </c>
    </row>
    <row r="1396" spans="1:6" x14ac:dyDescent="0.25">
      <c r="A1396" t="s">
        <v>1679</v>
      </c>
      <c r="B1396" t="str">
        <f>"16041490      "</f>
        <v xml:space="preserve">16041490      </v>
      </c>
      <c r="C1396" t="s">
        <v>5144</v>
      </c>
      <c r="D1396" t="s">
        <v>5144</v>
      </c>
      <c r="E1396" t="s">
        <v>5145</v>
      </c>
      <c r="F1396" t="s">
        <v>5146</v>
      </c>
    </row>
    <row r="1397" spans="1:6" x14ac:dyDescent="0.25">
      <c r="A1397" t="s">
        <v>1679</v>
      </c>
      <c r="B1397" t="str">
        <f>"16041511      "</f>
        <v xml:space="preserve">16041511      </v>
      </c>
      <c r="C1397" t="s">
        <v>5147</v>
      </c>
      <c r="D1397" t="s">
        <v>5147</v>
      </c>
      <c r="E1397" t="s">
        <v>5148</v>
      </c>
      <c r="F1397" t="s">
        <v>5149</v>
      </c>
    </row>
    <row r="1398" spans="1:6" x14ac:dyDescent="0.25">
      <c r="A1398" t="s">
        <v>1679</v>
      </c>
      <c r="B1398" t="str">
        <f>"16041519      "</f>
        <v xml:space="preserve">16041519      </v>
      </c>
      <c r="C1398" t="s">
        <v>4175</v>
      </c>
      <c r="D1398" t="s">
        <v>4175</v>
      </c>
      <c r="E1398" t="s">
        <v>5150</v>
      </c>
      <c r="F1398" t="s">
        <v>5151</v>
      </c>
    </row>
    <row r="1399" spans="1:6" x14ac:dyDescent="0.25">
      <c r="A1399" t="s">
        <v>1679</v>
      </c>
      <c r="B1399" t="str">
        <f>"16041590      "</f>
        <v xml:space="preserve">16041590      </v>
      </c>
      <c r="C1399" t="s">
        <v>5152</v>
      </c>
      <c r="D1399" t="s">
        <v>5152</v>
      </c>
      <c r="E1399" t="s">
        <v>5153</v>
      </c>
      <c r="F1399" t="s">
        <v>5154</v>
      </c>
    </row>
    <row r="1400" spans="1:6" x14ac:dyDescent="0.25">
      <c r="A1400" t="s">
        <v>1679</v>
      </c>
      <c r="B1400" t="str">
        <f>"16041600      "</f>
        <v xml:space="preserve">16041600      </v>
      </c>
      <c r="C1400" t="s">
        <v>5155</v>
      </c>
      <c r="D1400" t="s">
        <v>5155</v>
      </c>
      <c r="E1400" t="s">
        <v>5156</v>
      </c>
      <c r="F1400" t="s">
        <v>5157</v>
      </c>
    </row>
    <row r="1401" spans="1:6" x14ac:dyDescent="0.25">
      <c r="A1401" t="s">
        <v>1679</v>
      </c>
      <c r="B1401" t="str">
        <f>"16041700      "</f>
        <v xml:space="preserve">16041700      </v>
      </c>
      <c r="C1401" t="s">
        <v>5158</v>
      </c>
      <c r="D1401" t="s">
        <v>5158</v>
      </c>
      <c r="E1401" t="s">
        <v>5159</v>
      </c>
      <c r="F1401" t="s">
        <v>5160</v>
      </c>
    </row>
    <row r="1402" spans="1:6" x14ac:dyDescent="0.25">
      <c r="A1402" t="s">
        <v>1679</v>
      </c>
      <c r="B1402" t="str">
        <f>"16041800      "</f>
        <v xml:space="preserve">16041800      </v>
      </c>
      <c r="C1402" t="s">
        <v>4363</v>
      </c>
      <c r="D1402" t="s">
        <v>4363</v>
      </c>
      <c r="E1402" t="s">
        <v>5161</v>
      </c>
      <c r="F1402" t="s">
        <v>5162</v>
      </c>
    </row>
    <row r="1403" spans="1:6" x14ac:dyDescent="0.25">
      <c r="A1403" t="s">
        <v>1679</v>
      </c>
      <c r="B1403" t="str">
        <f>"16041910      "</f>
        <v xml:space="preserve">16041910      </v>
      </c>
      <c r="C1403" t="s">
        <v>5163</v>
      </c>
      <c r="D1403" t="s">
        <v>5163</v>
      </c>
      <c r="E1403" t="s">
        <v>5164</v>
      </c>
      <c r="F1403" t="s">
        <v>5165</v>
      </c>
    </row>
    <row r="1404" spans="1:6" x14ac:dyDescent="0.25">
      <c r="A1404" t="s">
        <v>1679</v>
      </c>
      <c r="B1404" t="str">
        <f>"16041931      "</f>
        <v xml:space="preserve">16041931      </v>
      </c>
      <c r="C1404" t="s">
        <v>5127</v>
      </c>
      <c r="D1404" t="s">
        <v>5127</v>
      </c>
      <c r="E1404" t="s">
        <v>5166</v>
      </c>
      <c r="F1404" t="s">
        <v>5167</v>
      </c>
    </row>
    <row r="1405" spans="1:6" x14ac:dyDescent="0.25">
      <c r="A1405" t="s">
        <v>1679</v>
      </c>
      <c r="B1405" t="str">
        <f>"16041939      "</f>
        <v xml:space="preserve">16041939      </v>
      </c>
      <c r="C1405" t="s">
        <v>4175</v>
      </c>
      <c r="D1405" t="s">
        <v>4175</v>
      </c>
      <c r="E1405" t="s">
        <v>5168</v>
      </c>
      <c r="F1405" t="s">
        <v>5169</v>
      </c>
    </row>
    <row r="1406" spans="1:6" x14ac:dyDescent="0.25">
      <c r="A1406" t="s">
        <v>1679</v>
      </c>
      <c r="B1406" t="str">
        <f>"16041950      "</f>
        <v xml:space="preserve">16041950      </v>
      </c>
      <c r="C1406" t="s">
        <v>5170</v>
      </c>
      <c r="D1406" t="s">
        <v>5170</v>
      </c>
      <c r="E1406" t="s">
        <v>5171</v>
      </c>
      <c r="F1406" t="s">
        <v>5172</v>
      </c>
    </row>
    <row r="1407" spans="1:6" x14ac:dyDescent="0.25">
      <c r="A1407" t="s">
        <v>1679</v>
      </c>
      <c r="B1407" t="str">
        <f>"16041991      "</f>
        <v xml:space="preserve">16041991      </v>
      </c>
      <c r="C1407" t="s">
        <v>5109</v>
      </c>
      <c r="D1407" t="s">
        <v>5109</v>
      </c>
      <c r="E1407" t="s">
        <v>5173</v>
      </c>
      <c r="F1407" t="s">
        <v>5174</v>
      </c>
    </row>
    <row r="1408" spans="1:6" x14ac:dyDescent="0.25">
      <c r="A1408" t="s">
        <v>1679</v>
      </c>
      <c r="B1408" t="str">
        <f>"16041992      "</f>
        <v xml:space="preserve">16041992      </v>
      </c>
      <c r="C1408" t="s">
        <v>4348</v>
      </c>
      <c r="D1408" t="s">
        <v>4348</v>
      </c>
      <c r="E1408" t="s">
        <v>5175</v>
      </c>
      <c r="F1408" t="s">
        <v>5176</v>
      </c>
    </row>
    <row r="1409" spans="1:6" x14ac:dyDescent="0.25">
      <c r="A1409" t="s">
        <v>1679</v>
      </c>
      <c r="B1409" t="str">
        <f>"16041993      "</f>
        <v xml:space="preserve">16041993      </v>
      </c>
      <c r="C1409" t="s">
        <v>5177</v>
      </c>
      <c r="D1409" t="s">
        <v>5177</v>
      </c>
      <c r="E1409" t="s">
        <v>5178</v>
      </c>
      <c r="F1409" t="s">
        <v>5179</v>
      </c>
    </row>
    <row r="1410" spans="1:6" x14ac:dyDescent="0.25">
      <c r="A1410" t="s">
        <v>1679</v>
      </c>
      <c r="B1410" t="str">
        <f>"16041994      "</f>
        <v xml:space="preserve">16041994      </v>
      </c>
      <c r="C1410" t="s">
        <v>5180</v>
      </c>
      <c r="D1410" t="s">
        <v>5180</v>
      </c>
      <c r="E1410" t="s">
        <v>5181</v>
      </c>
      <c r="F1410" t="s">
        <v>5182</v>
      </c>
    </row>
    <row r="1411" spans="1:6" x14ac:dyDescent="0.25">
      <c r="A1411" t="s">
        <v>1679</v>
      </c>
      <c r="B1411" t="str">
        <f>"16041995      "</f>
        <v xml:space="preserve">16041995      </v>
      </c>
      <c r="C1411" t="s">
        <v>5183</v>
      </c>
      <c r="D1411" t="s">
        <v>5183</v>
      </c>
      <c r="E1411" t="s">
        <v>5184</v>
      </c>
      <c r="F1411" t="s">
        <v>5185</v>
      </c>
    </row>
    <row r="1412" spans="1:6" x14ac:dyDescent="0.25">
      <c r="A1412" t="s">
        <v>1679</v>
      </c>
      <c r="B1412" t="str">
        <f>"16041997      "</f>
        <v xml:space="preserve">16041997      </v>
      </c>
      <c r="C1412" t="s">
        <v>4175</v>
      </c>
      <c r="D1412" t="s">
        <v>4175</v>
      </c>
      <c r="E1412" t="s">
        <v>5186</v>
      </c>
      <c r="F1412" t="s">
        <v>5187</v>
      </c>
    </row>
    <row r="1413" spans="1:6" x14ac:dyDescent="0.25">
      <c r="A1413" t="s">
        <v>1679</v>
      </c>
      <c r="B1413" t="str">
        <f>"16042005      "</f>
        <v xml:space="preserve">16042005      </v>
      </c>
      <c r="C1413" t="s">
        <v>5188</v>
      </c>
      <c r="D1413" t="s">
        <v>5188</v>
      </c>
      <c r="E1413" t="s">
        <v>5189</v>
      </c>
      <c r="F1413" t="s">
        <v>5190</v>
      </c>
    </row>
    <row r="1414" spans="1:6" x14ac:dyDescent="0.25">
      <c r="A1414" t="s">
        <v>1679</v>
      </c>
      <c r="B1414" t="str">
        <f>"16042010      "</f>
        <v xml:space="preserve">16042010      </v>
      </c>
      <c r="C1414" t="s">
        <v>5191</v>
      </c>
      <c r="D1414" t="s">
        <v>5191</v>
      </c>
      <c r="E1414" t="s">
        <v>5192</v>
      </c>
      <c r="F1414" t="s">
        <v>5193</v>
      </c>
    </row>
    <row r="1415" spans="1:6" x14ac:dyDescent="0.25">
      <c r="A1415" t="s">
        <v>1679</v>
      </c>
      <c r="B1415" t="str">
        <f>"16042030      "</f>
        <v xml:space="preserve">16042030      </v>
      </c>
      <c r="C1415" t="s">
        <v>5194</v>
      </c>
      <c r="D1415" t="s">
        <v>5194</v>
      </c>
      <c r="E1415" t="s">
        <v>5195</v>
      </c>
      <c r="F1415" t="s">
        <v>5196</v>
      </c>
    </row>
    <row r="1416" spans="1:6" x14ac:dyDescent="0.25">
      <c r="A1416" t="s">
        <v>1679</v>
      </c>
      <c r="B1416" t="str">
        <f>"16042040      "</f>
        <v xml:space="preserve">16042040      </v>
      </c>
      <c r="C1416" t="s">
        <v>5197</v>
      </c>
      <c r="D1416" t="s">
        <v>5197</v>
      </c>
      <c r="E1416" t="s">
        <v>5198</v>
      </c>
      <c r="F1416" t="s">
        <v>5199</v>
      </c>
    </row>
    <row r="1417" spans="1:6" x14ac:dyDescent="0.25">
      <c r="A1417" t="s">
        <v>1679</v>
      </c>
      <c r="B1417" t="str">
        <f>"16042050      "</f>
        <v xml:space="preserve">16042050      </v>
      </c>
      <c r="C1417" t="s">
        <v>5200</v>
      </c>
      <c r="D1417" t="s">
        <v>5200</v>
      </c>
      <c r="E1417" t="s">
        <v>5201</v>
      </c>
      <c r="F1417" t="s">
        <v>5202</v>
      </c>
    </row>
    <row r="1418" spans="1:6" x14ac:dyDescent="0.25">
      <c r="A1418" t="s">
        <v>1679</v>
      </c>
      <c r="B1418" t="str">
        <f>"16042070      "</f>
        <v xml:space="preserve">16042070      </v>
      </c>
      <c r="C1418" t="s">
        <v>5203</v>
      </c>
      <c r="D1418" t="s">
        <v>5203</v>
      </c>
      <c r="E1418" t="s">
        <v>5204</v>
      </c>
      <c r="F1418" t="s">
        <v>5205</v>
      </c>
    </row>
    <row r="1419" spans="1:6" x14ac:dyDescent="0.25">
      <c r="A1419" t="s">
        <v>1679</v>
      </c>
      <c r="B1419" t="str">
        <f>"16042090      "</f>
        <v xml:space="preserve">16042090      </v>
      </c>
      <c r="C1419" t="s">
        <v>5206</v>
      </c>
      <c r="D1419" t="s">
        <v>5206</v>
      </c>
      <c r="E1419" t="s">
        <v>5207</v>
      </c>
      <c r="F1419" t="s">
        <v>5208</v>
      </c>
    </row>
    <row r="1420" spans="1:6" x14ac:dyDescent="0.25">
      <c r="A1420" t="s">
        <v>1679</v>
      </c>
      <c r="B1420" t="str">
        <f>"16043100      "</f>
        <v xml:space="preserve">16043100      </v>
      </c>
      <c r="C1420" t="s">
        <v>2695</v>
      </c>
      <c r="D1420" t="s">
        <v>2695</v>
      </c>
      <c r="E1420" t="s">
        <v>5209</v>
      </c>
      <c r="F1420" t="s">
        <v>5210</v>
      </c>
    </row>
    <row r="1421" spans="1:6" x14ac:dyDescent="0.25">
      <c r="A1421" t="s">
        <v>1679</v>
      </c>
      <c r="B1421" t="str">
        <f>"16043200      "</f>
        <v xml:space="preserve">16043200      </v>
      </c>
      <c r="C1421" t="s">
        <v>5211</v>
      </c>
      <c r="D1421" t="s">
        <v>5211</v>
      </c>
      <c r="E1421" t="s">
        <v>5212</v>
      </c>
      <c r="F1421" t="s">
        <v>5213</v>
      </c>
    </row>
    <row r="1422" spans="1:6" x14ac:dyDescent="0.25">
      <c r="A1422" t="s">
        <v>1679</v>
      </c>
      <c r="B1422" t="str">
        <f>"16051000      "</f>
        <v xml:space="preserve">16051000      </v>
      </c>
      <c r="C1422" t="s">
        <v>5214</v>
      </c>
      <c r="D1422" t="s">
        <v>5214</v>
      </c>
      <c r="E1422" t="s">
        <v>5215</v>
      </c>
      <c r="F1422" t="s">
        <v>5216</v>
      </c>
    </row>
    <row r="1423" spans="1:6" x14ac:dyDescent="0.25">
      <c r="A1423" t="s">
        <v>1679</v>
      </c>
      <c r="B1423" t="str">
        <f>"16052110      "</f>
        <v xml:space="preserve">16052110      </v>
      </c>
      <c r="C1423" t="s">
        <v>5217</v>
      </c>
      <c r="D1423" t="s">
        <v>5217</v>
      </c>
      <c r="E1423" t="s">
        <v>5218</v>
      </c>
      <c r="F1423" t="s">
        <v>5219</v>
      </c>
    </row>
    <row r="1424" spans="1:6" x14ac:dyDescent="0.25">
      <c r="A1424" t="s">
        <v>1679</v>
      </c>
      <c r="B1424" t="str">
        <f>"16052190      "</f>
        <v xml:space="preserve">16052190      </v>
      </c>
      <c r="C1424" t="s">
        <v>4175</v>
      </c>
      <c r="D1424" t="s">
        <v>4175</v>
      </c>
      <c r="E1424" t="s">
        <v>5220</v>
      </c>
      <c r="F1424" t="s">
        <v>5221</v>
      </c>
    </row>
    <row r="1425" spans="1:6" x14ac:dyDescent="0.25">
      <c r="A1425" t="s">
        <v>1679</v>
      </c>
      <c r="B1425" t="str">
        <f>"16052900      "</f>
        <v xml:space="preserve">16052900      </v>
      </c>
      <c r="C1425" t="s">
        <v>4175</v>
      </c>
      <c r="D1425" t="s">
        <v>4175</v>
      </c>
      <c r="E1425" t="s">
        <v>5222</v>
      </c>
      <c r="F1425" t="s">
        <v>5223</v>
      </c>
    </row>
    <row r="1426" spans="1:6" x14ac:dyDescent="0.25">
      <c r="A1426" t="s">
        <v>1679</v>
      </c>
      <c r="B1426" t="str">
        <f>"16053010      "</f>
        <v xml:space="preserve">16053010      </v>
      </c>
      <c r="C1426" t="s">
        <v>5224</v>
      </c>
      <c r="D1426" t="s">
        <v>5224</v>
      </c>
      <c r="E1426" t="s">
        <v>5225</v>
      </c>
      <c r="F1426" t="s">
        <v>5226</v>
      </c>
    </row>
    <row r="1427" spans="1:6" x14ac:dyDescent="0.25">
      <c r="A1427" t="s">
        <v>1679</v>
      </c>
      <c r="B1427" t="str">
        <f>"16053090      "</f>
        <v xml:space="preserve">16053090      </v>
      </c>
      <c r="C1427" t="s">
        <v>4175</v>
      </c>
      <c r="D1427" t="s">
        <v>4175</v>
      </c>
      <c r="E1427" t="s">
        <v>5227</v>
      </c>
      <c r="F1427" t="s">
        <v>5228</v>
      </c>
    </row>
    <row r="1428" spans="1:6" x14ac:dyDescent="0.25">
      <c r="A1428" t="s">
        <v>1679</v>
      </c>
      <c r="B1428" t="str">
        <f>"16054000      "</f>
        <v xml:space="preserve">16054000      </v>
      </c>
      <c r="C1428" t="s">
        <v>5229</v>
      </c>
      <c r="D1428" t="s">
        <v>5229</v>
      </c>
      <c r="E1428" t="s">
        <v>5230</v>
      </c>
      <c r="F1428" t="s">
        <v>5231</v>
      </c>
    </row>
    <row r="1429" spans="1:6" x14ac:dyDescent="0.25">
      <c r="A1429" t="s">
        <v>1679</v>
      </c>
      <c r="B1429" t="str">
        <f>"16055100      "</f>
        <v xml:space="preserve">16055100      </v>
      </c>
      <c r="C1429" t="s">
        <v>5232</v>
      </c>
      <c r="D1429" t="s">
        <v>5232</v>
      </c>
      <c r="E1429" t="s">
        <v>5233</v>
      </c>
      <c r="F1429" t="s">
        <v>5234</v>
      </c>
    </row>
    <row r="1430" spans="1:6" x14ac:dyDescent="0.25">
      <c r="A1430" t="s">
        <v>1679</v>
      </c>
      <c r="B1430" t="str">
        <f>"16055200      "</f>
        <v xml:space="preserve">16055200      </v>
      </c>
      <c r="C1430" t="s">
        <v>5235</v>
      </c>
      <c r="D1430" t="s">
        <v>5235</v>
      </c>
      <c r="E1430" t="s">
        <v>5236</v>
      </c>
      <c r="F1430" t="s">
        <v>5237</v>
      </c>
    </row>
    <row r="1431" spans="1:6" x14ac:dyDescent="0.25">
      <c r="A1431" t="s">
        <v>1679</v>
      </c>
      <c r="B1431" t="str">
        <f>"16055310      "</f>
        <v xml:space="preserve">16055310      </v>
      </c>
      <c r="C1431" t="s">
        <v>5112</v>
      </c>
      <c r="D1431" t="s">
        <v>5112</v>
      </c>
      <c r="E1431" t="s">
        <v>5238</v>
      </c>
      <c r="F1431" t="s">
        <v>5239</v>
      </c>
    </row>
    <row r="1432" spans="1:6" x14ac:dyDescent="0.25">
      <c r="A1432" t="s">
        <v>1679</v>
      </c>
      <c r="B1432" t="str">
        <f>"16055390      "</f>
        <v xml:space="preserve">16055390      </v>
      </c>
      <c r="C1432" t="s">
        <v>4175</v>
      </c>
      <c r="D1432" t="s">
        <v>4175</v>
      </c>
      <c r="E1432" t="s">
        <v>5240</v>
      </c>
      <c r="F1432" t="s">
        <v>5241</v>
      </c>
    </row>
    <row r="1433" spans="1:6" x14ac:dyDescent="0.25">
      <c r="A1433" t="s">
        <v>1679</v>
      </c>
      <c r="B1433" t="str">
        <f>"16055400      "</f>
        <v xml:space="preserve">16055400      </v>
      </c>
      <c r="C1433" t="s">
        <v>5242</v>
      </c>
      <c r="D1433" t="s">
        <v>5242</v>
      </c>
      <c r="E1433" t="s">
        <v>5243</v>
      </c>
      <c r="F1433" t="s">
        <v>5244</v>
      </c>
    </row>
    <row r="1434" spans="1:6" x14ac:dyDescent="0.25">
      <c r="A1434" t="s">
        <v>1679</v>
      </c>
      <c r="B1434" t="str">
        <f>"16055500      "</f>
        <v xml:space="preserve">16055500      </v>
      </c>
      <c r="C1434" t="s">
        <v>5245</v>
      </c>
      <c r="D1434" t="s">
        <v>5245</v>
      </c>
      <c r="E1434" t="s">
        <v>5246</v>
      </c>
      <c r="F1434" t="s">
        <v>5247</v>
      </c>
    </row>
    <row r="1435" spans="1:6" x14ac:dyDescent="0.25">
      <c r="A1435" t="s">
        <v>1679</v>
      </c>
      <c r="B1435" t="str">
        <f>"16055600      "</f>
        <v xml:space="preserve">16055600      </v>
      </c>
      <c r="C1435" t="s">
        <v>5248</v>
      </c>
      <c r="D1435" t="s">
        <v>5248</v>
      </c>
      <c r="E1435" t="s">
        <v>5249</v>
      </c>
      <c r="F1435" t="s">
        <v>5250</v>
      </c>
    </row>
    <row r="1436" spans="1:6" x14ac:dyDescent="0.25">
      <c r="A1436" t="s">
        <v>1679</v>
      </c>
      <c r="B1436" t="str">
        <f>"16055700      "</f>
        <v xml:space="preserve">16055700      </v>
      </c>
      <c r="C1436" t="s">
        <v>5251</v>
      </c>
      <c r="D1436" t="s">
        <v>5251</v>
      </c>
      <c r="E1436" t="s">
        <v>5252</v>
      </c>
      <c r="F1436" t="s">
        <v>5253</v>
      </c>
    </row>
    <row r="1437" spans="1:6" x14ac:dyDescent="0.25">
      <c r="A1437" t="s">
        <v>1679</v>
      </c>
      <c r="B1437" t="str">
        <f>"16055800      "</f>
        <v xml:space="preserve">16055800      </v>
      </c>
      <c r="C1437" t="s">
        <v>4568</v>
      </c>
      <c r="D1437" t="s">
        <v>4568</v>
      </c>
      <c r="E1437" t="s">
        <v>5254</v>
      </c>
      <c r="F1437" t="s">
        <v>5255</v>
      </c>
    </row>
    <row r="1438" spans="1:6" x14ac:dyDescent="0.25">
      <c r="A1438" t="s">
        <v>1679</v>
      </c>
      <c r="B1438" t="str">
        <f>"16055900      "</f>
        <v xml:space="preserve">16055900      </v>
      </c>
      <c r="C1438" t="s">
        <v>5256</v>
      </c>
      <c r="D1438" t="s">
        <v>5256</v>
      </c>
      <c r="E1438" t="s">
        <v>5257</v>
      </c>
      <c r="F1438" t="s">
        <v>5258</v>
      </c>
    </row>
    <row r="1439" spans="1:6" x14ac:dyDescent="0.25">
      <c r="A1439" t="s">
        <v>1679</v>
      </c>
      <c r="B1439" t="str">
        <f>"16056100      "</f>
        <v xml:space="preserve">16056100      </v>
      </c>
      <c r="C1439" t="s">
        <v>5259</v>
      </c>
      <c r="D1439" t="s">
        <v>5259</v>
      </c>
      <c r="E1439" t="s">
        <v>5260</v>
      </c>
      <c r="F1439" t="s">
        <v>5261</v>
      </c>
    </row>
    <row r="1440" spans="1:6" x14ac:dyDescent="0.25">
      <c r="A1440" t="s">
        <v>1679</v>
      </c>
      <c r="B1440" t="str">
        <f>"16056200      "</f>
        <v xml:space="preserve">16056200      </v>
      </c>
      <c r="C1440" t="s">
        <v>5262</v>
      </c>
      <c r="D1440" t="s">
        <v>5262</v>
      </c>
      <c r="E1440" t="s">
        <v>5263</v>
      </c>
      <c r="F1440" t="s">
        <v>5264</v>
      </c>
    </row>
    <row r="1441" spans="1:6" x14ac:dyDescent="0.25">
      <c r="A1441" t="s">
        <v>1679</v>
      </c>
      <c r="B1441" t="str">
        <f>"16056300      "</f>
        <v xml:space="preserve">16056300      </v>
      </c>
      <c r="C1441" t="s">
        <v>5265</v>
      </c>
      <c r="D1441" t="s">
        <v>5265</v>
      </c>
      <c r="E1441" t="s">
        <v>5266</v>
      </c>
      <c r="F1441" t="s">
        <v>5267</v>
      </c>
    </row>
    <row r="1442" spans="1:6" x14ac:dyDescent="0.25">
      <c r="A1442" t="s">
        <v>1679</v>
      </c>
      <c r="B1442" t="str">
        <f>"16056900      "</f>
        <v xml:space="preserve">16056900      </v>
      </c>
      <c r="C1442" t="s">
        <v>5256</v>
      </c>
      <c r="D1442" t="s">
        <v>5256</v>
      </c>
      <c r="E1442" t="s">
        <v>5268</v>
      </c>
      <c r="F1442" t="s">
        <v>5269</v>
      </c>
    </row>
    <row r="1443" spans="1:6" x14ac:dyDescent="0.25">
      <c r="A1443" t="s">
        <v>1679</v>
      </c>
      <c r="B1443" t="str">
        <f>"20089311      "</f>
        <v xml:space="preserve">20089311      </v>
      </c>
      <c r="C1443" t="s">
        <v>5270</v>
      </c>
      <c r="D1443" t="s">
        <v>5270</v>
      </c>
      <c r="E1443" t="s">
        <v>5271</v>
      </c>
      <c r="F1443" t="s">
        <v>5272</v>
      </c>
    </row>
    <row r="1444" spans="1:6" x14ac:dyDescent="0.25">
      <c r="A1444" t="s">
        <v>1679</v>
      </c>
      <c r="B1444" t="str">
        <f>"20089319      "</f>
        <v xml:space="preserve">20089319      </v>
      </c>
      <c r="C1444" t="s">
        <v>4175</v>
      </c>
      <c r="D1444" t="s">
        <v>4175</v>
      </c>
      <c r="E1444" t="s">
        <v>5273</v>
      </c>
      <c r="F1444" t="s">
        <v>5274</v>
      </c>
    </row>
    <row r="1445" spans="1:6" x14ac:dyDescent="0.25">
      <c r="A1445" t="s">
        <v>1679</v>
      </c>
      <c r="B1445" t="str">
        <f>"20089321      "</f>
        <v xml:space="preserve">20089321      </v>
      </c>
      <c r="C1445" t="s">
        <v>5270</v>
      </c>
      <c r="D1445" t="s">
        <v>5270</v>
      </c>
      <c r="E1445" t="s">
        <v>5275</v>
      </c>
      <c r="F1445" t="s">
        <v>5276</v>
      </c>
    </row>
    <row r="1446" spans="1:6" x14ac:dyDescent="0.25">
      <c r="A1446" t="s">
        <v>1679</v>
      </c>
      <c r="B1446" t="str">
        <f>"20089329      "</f>
        <v xml:space="preserve">20089329      </v>
      </c>
      <c r="C1446" t="s">
        <v>4175</v>
      </c>
      <c r="D1446" t="s">
        <v>4175</v>
      </c>
      <c r="E1446" t="s">
        <v>5277</v>
      </c>
      <c r="F1446" t="s">
        <v>5278</v>
      </c>
    </row>
    <row r="1447" spans="1:6" x14ac:dyDescent="0.25">
      <c r="A1447" t="s">
        <v>1679</v>
      </c>
      <c r="B1447" t="str">
        <f>"20089391      "</f>
        <v xml:space="preserve">20089391      </v>
      </c>
      <c r="C1447" t="s">
        <v>5279</v>
      </c>
      <c r="D1447" t="s">
        <v>5279</v>
      </c>
      <c r="E1447" t="s">
        <v>5280</v>
      </c>
      <c r="F1447" t="s">
        <v>5281</v>
      </c>
    </row>
    <row r="1448" spans="1:6" x14ac:dyDescent="0.25">
      <c r="A1448" t="s">
        <v>1679</v>
      </c>
      <c r="B1448" t="str">
        <f>"20089393      "</f>
        <v xml:space="preserve">20089393      </v>
      </c>
      <c r="C1448" t="s">
        <v>5282</v>
      </c>
      <c r="D1448" t="s">
        <v>5282</v>
      </c>
      <c r="E1448" t="s">
        <v>5283</v>
      </c>
      <c r="F1448" t="s">
        <v>5284</v>
      </c>
    </row>
    <row r="1449" spans="1:6" x14ac:dyDescent="0.25">
      <c r="A1449" t="s">
        <v>1679</v>
      </c>
      <c r="B1449" t="str">
        <f>"20089399      "</f>
        <v xml:space="preserve">20089399      </v>
      </c>
      <c r="C1449" t="s">
        <v>5285</v>
      </c>
      <c r="D1449" t="s">
        <v>5285</v>
      </c>
      <c r="E1449" t="s">
        <v>5286</v>
      </c>
      <c r="F1449" t="s">
        <v>5287</v>
      </c>
    </row>
    <row r="1450" spans="1:6" x14ac:dyDescent="0.25">
      <c r="A1450" t="s">
        <v>1679</v>
      </c>
      <c r="B1450" t="str">
        <f>"20091111      "</f>
        <v xml:space="preserve">20091111      </v>
      </c>
      <c r="C1450" t="s">
        <v>5288</v>
      </c>
      <c r="D1450" t="s">
        <v>5288</v>
      </c>
      <c r="E1450" t="s">
        <v>5289</v>
      </c>
      <c r="F1450" t="s">
        <v>5290</v>
      </c>
    </row>
    <row r="1451" spans="1:6" x14ac:dyDescent="0.25">
      <c r="A1451" t="s">
        <v>1679</v>
      </c>
      <c r="B1451" t="str">
        <f>"20091119      "</f>
        <v xml:space="preserve">20091119      </v>
      </c>
      <c r="C1451" t="s">
        <v>4175</v>
      </c>
      <c r="D1451" t="s">
        <v>4175</v>
      </c>
      <c r="E1451" t="s">
        <v>5291</v>
      </c>
      <c r="F1451" t="s">
        <v>5292</v>
      </c>
    </row>
    <row r="1452" spans="1:6" x14ac:dyDescent="0.25">
      <c r="A1452" t="s">
        <v>1679</v>
      </c>
      <c r="B1452" t="str">
        <f>"20091191      "</f>
        <v xml:space="preserve">20091191      </v>
      </c>
      <c r="C1452" t="s">
        <v>5293</v>
      </c>
      <c r="D1452" t="s">
        <v>5293</v>
      </c>
      <c r="E1452" t="s">
        <v>5294</v>
      </c>
      <c r="F1452" t="s">
        <v>5295</v>
      </c>
    </row>
    <row r="1453" spans="1:6" x14ac:dyDescent="0.25">
      <c r="A1453" t="s">
        <v>1679</v>
      </c>
      <c r="B1453" t="str">
        <f>"20091199      "</f>
        <v xml:space="preserve">20091199      </v>
      </c>
      <c r="C1453" t="s">
        <v>4175</v>
      </c>
      <c r="D1453" t="s">
        <v>4175</v>
      </c>
      <c r="E1453" t="s">
        <v>5296</v>
      </c>
      <c r="F1453" t="s">
        <v>5297</v>
      </c>
    </row>
    <row r="1454" spans="1:6" x14ac:dyDescent="0.25">
      <c r="A1454" t="s">
        <v>1679</v>
      </c>
      <c r="B1454" t="str">
        <f>"20091200      "</f>
        <v xml:space="preserve">20091200      </v>
      </c>
      <c r="C1454" t="s">
        <v>5298</v>
      </c>
      <c r="D1454" t="s">
        <v>5298</v>
      </c>
      <c r="E1454" t="s">
        <v>5299</v>
      </c>
      <c r="F1454" t="s">
        <v>5300</v>
      </c>
    </row>
    <row r="1455" spans="1:6" x14ac:dyDescent="0.25">
      <c r="A1455" t="s">
        <v>1679</v>
      </c>
      <c r="B1455" t="str">
        <f>"20091911      "</f>
        <v xml:space="preserve">20091911      </v>
      </c>
      <c r="C1455" t="s">
        <v>5288</v>
      </c>
      <c r="D1455" t="s">
        <v>5288</v>
      </c>
      <c r="E1455" t="s">
        <v>5301</v>
      </c>
      <c r="F1455" t="s">
        <v>5302</v>
      </c>
    </row>
    <row r="1456" spans="1:6" x14ac:dyDescent="0.25">
      <c r="A1456" t="s">
        <v>1679</v>
      </c>
      <c r="B1456" t="str">
        <f>"20091919      "</f>
        <v xml:space="preserve">20091919      </v>
      </c>
      <c r="C1456" t="s">
        <v>4175</v>
      </c>
      <c r="D1456" t="s">
        <v>4175</v>
      </c>
      <c r="E1456" t="s">
        <v>5303</v>
      </c>
      <c r="F1456" t="s">
        <v>5304</v>
      </c>
    </row>
    <row r="1457" spans="1:6" x14ac:dyDescent="0.25">
      <c r="A1457" t="s">
        <v>1679</v>
      </c>
      <c r="B1457" t="str">
        <f>"20091991      "</f>
        <v xml:space="preserve">20091991      </v>
      </c>
      <c r="C1457" t="s">
        <v>5293</v>
      </c>
      <c r="D1457" t="s">
        <v>5293</v>
      </c>
      <c r="E1457" t="s">
        <v>5305</v>
      </c>
      <c r="F1457" t="s">
        <v>5306</v>
      </c>
    </row>
    <row r="1458" spans="1:6" x14ac:dyDescent="0.25">
      <c r="A1458" t="s">
        <v>1679</v>
      </c>
      <c r="B1458" t="str">
        <f>"20091998      "</f>
        <v xml:space="preserve">20091998      </v>
      </c>
      <c r="C1458" t="s">
        <v>4175</v>
      </c>
      <c r="D1458" t="s">
        <v>4175</v>
      </c>
      <c r="E1458" t="s">
        <v>5307</v>
      </c>
      <c r="F1458" t="s">
        <v>5308</v>
      </c>
    </row>
    <row r="1459" spans="1:6" x14ac:dyDescent="0.25">
      <c r="A1459" t="s">
        <v>1679</v>
      </c>
      <c r="B1459" t="str">
        <f>"20092100      "</f>
        <v xml:space="preserve">20092100      </v>
      </c>
      <c r="C1459" t="s">
        <v>5309</v>
      </c>
      <c r="D1459" t="s">
        <v>5309</v>
      </c>
      <c r="E1459" t="s">
        <v>5310</v>
      </c>
      <c r="F1459" t="s">
        <v>5311</v>
      </c>
    </row>
    <row r="1460" spans="1:6" x14ac:dyDescent="0.25">
      <c r="A1460" t="s">
        <v>1679</v>
      </c>
      <c r="B1460" t="str">
        <f>"20092911      "</f>
        <v xml:space="preserve">20092911      </v>
      </c>
      <c r="C1460" t="s">
        <v>5288</v>
      </c>
      <c r="D1460" t="s">
        <v>5288</v>
      </c>
      <c r="E1460" t="s">
        <v>5312</v>
      </c>
      <c r="F1460" t="s">
        <v>5313</v>
      </c>
    </row>
    <row r="1461" spans="1:6" x14ac:dyDescent="0.25">
      <c r="A1461" t="s">
        <v>1679</v>
      </c>
      <c r="B1461" t="str">
        <f>"20092919      "</f>
        <v xml:space="preserve">20092919      </v>
      </c>
      <c r="C1461" t="s">
        <v>4175</v>
      </c>
      <c r="D1461" t="s">
        <v>4175</v>
      </c>
      <c r="E1461" t="s">
        <v>5314</v>
      </c>
      <c r="F1461" t="s">
        <v>5315</v>
      </c>
    </row>
    <row r="1462" spans="1:6" x14ac:dyDescent="0.25">
      <c r="A1462" t="s">
        <v>1679</v>
      </c>
      <c r="B1462" t="str">
        <f>"20092991      "</f>
        <v xml:space="preserve">20092991      </v>
      </c>
      <c r="C1462" t="s">
        <v>5293</v>
      </c>
      <c r="D1462" t="s">
        <v>5293</v>
      </c>
      <c r="E1462" t="s">
        <v>5316</v>
      </c>
      <c r="F1462" t="s">
        <v>5317</v>
      </c>
    </row>
    <row r="1463" spans="1:6" x14ac:dyDescent="0.25">
      <c r="A1463" t="s">
        <v>1679</v>
      </c>
      <c r="B1463" t="str">
        <f>"20092999      "</f>
        <v xml:space="preserve">20092999      </v>
      </c>
      <c r="C1463" t="s">
        <v>4175</v>
      </c>
      <c r="D1463" t="s">
        <v>4175</v>
      </c>
      <c r="E1463" t="s">
        <v>5318</v>
      </c>
      <c r="F1463" t="s">
        <v>5319</v>
      </c>
    </row>
    <row r="1464" spans="1:6" x14ac:dyDescent="0.25">
      <c r="A1464" t="s">
        <v>1679</v>
      </c>
      <c r="B1464" t="str">
        <f>"20093111      "</f>
        <v xml:space="preserve">20093111      </v>
      </c>
      <c r="C1464" t="s">
        <v>5320</v>
      </c>
      <c r="D1464" t="s">
        <v>5320</v>
      </c>
      <c r="E1464" t="s">
        <v>5321</v>
      </c>
      <c r="F1464" t="s">
        <v>5322</v>
      </c>
    </row>
    <row r="1465" spans="1:6" x14ac:dyDescent="0.25">
      <c r="A1465" t="s">
        <v>1679</v>
      </c>
      <c r="B1465" t="str">
        <f>"20093119      "</f>
        <v xml:space="preserve">20093119      </v>
      </c>
      <c r="C1465" t="s">
        <v>5323</v>
      </c>
      <c r="D1465" t="s">
        <v>5323</v>
      </c>
      <c r="E1465" t="s">
        <v>5324</v>
      </c>
      <c r="F1465" t="s">
        <v>5325</v>
      </c>
    </row>
    <row r="1466" spans="1:6" x14ac:dyDescent="0.25">
      <c r="A1466" t="s">
        <v>1679</v>
      </c>
      <c r="B1466" t="str">
        <f>"20093151      "</f>
        <v xml:space="preserve">20093151      </v>
      </c>
      <c r="C1466" t="s">
        <v>5320</v>
      </c>
      <c r="D1466" t="s">
        <v>5320</v>
      </c>
      <c r="E1466" t="s">
        <v>5326</v>
      </c>
      <c r="F1466" t="s">
        <v>5327</v>
      </c>
    </row>
    <row r="1467" spans="1:6" x14ac:dyDescent="0.25">
      <c r="A1467" t="s">
        <v>1679</v>
      </c>
      <c r="B1467" t="str">
        <f>"20093159      "</f>
        <v xml:space="preserve">20093159      </v>
      </c>
      <c r="C1467" t="s">
        <v>5323</v>
      </c>
      <c r="D1467" t="s">
        <v>5323</v>
      </c>
      <c r="E1467" t="s">
        <v>5328</v>
      </c>
      <c r="F1467" t="s">
        <v>5329</v>
      </c>
    </row>
    <row r="1468" spans="1:6" x14ac:dyDescent="0.25">
      <c r="A1468" t="s">
        <v>1679</v>
      </c>
      <c r="B1468" t="str">
        <f>"20093191      "</f>
        <v xml:space="preserve">20093191      </v>
      </c>
      <c r="C1468" t="s">
        <v>5320</v>
      </c>
      <c r="D1468" t="s">
        <v>5320</v>
      </c>
      <c r="E1468" t="s">
        <v>5330</v>
      </c>
      <c r="F1468" t="s">
        <v>5331</v>
      </c>
    </row>
    <row r="1469" spans="1:6" x14ac:dyDescent="0.25">
      <c r="A1469" t="s">
        <v>1679</v>
      </c>
      <c r="B1469" t="str">
        <f>"20093199      "</f>
        <v xml:space="preserve">20093199      </v>
      </c>
      <c r="C1469" t="s">
        <v>5323</v>
      </c>
      <c r="D1469" t="s">
        <v>5323</v>
      </c>
      <c r="E1469" t="s">
        <v>5332</v>
      </c>
      <c r="F1469" t="s">
        <v>5333</v>
      </c>
    </row>
    <row r="1470" spans="1:6" x14ac:dyDescent="0.25">
      <c r="A1470" t="s">
        <v>1679</v>
      </c>
      <c r="B1470" t="str">
        <f>"20093911      "</f>
        <v xml:space="preserve">20093911      </v>
      </c>
      <c r="C1470" t="s">
        <v>5288</v>
      </c>
      <c r="D1470" t="s">
        <v>5288</v>
      </c>
      <c r="E1470" t="s">
        <v>5334</v>
      </c>
      <c r="F1470" t="s">
        <v>5335</v>
      </c>
    </row>
    <row r="1471" spans="1:6" x14ac:dyDescent="0.25">
      <c r="A1471" t="s">
        <v>1679</v>
      </c>
      <c r="B1471" t="str">
        <f>"20093919      "</f>
        <v xml:space="preserve">20093919      </v>
      </c>
      <c r="C1471" t="s">
        <v>4175</v>
      </c>
      <c r="D1471" t="s">
        <v>4175</v>
      </c>
      <c r="E1471" t="s">
        <v>5336</v>
      </c>
      <c r="F1471" t="s">
        <v>5337</v>
      </c>
    </row>
    <row r="1472" spans="1:6" x14ac:dyDescent="0.25">
      <c r="A1472" t="s">
        <v>1679</v>
      </c>
      <c r="B1472" t="str">
        <f>"20093931      "</f>
        <v xml:space="preserve">20093931      </v>
      </c>
      <c r="C1472" t="s">
        <v>5320</v>
      </c>
      <c r="D1472" t="s">
        <v>5320</v>
      </c>
      <c r="E1472" t="s">
        <v>5338</v>
      </c>
      <c r="F1472" t="s">
        <v>5339</v>
      </c>
    </row>
    <row r="1473" spans="1:6" x14ac:dyDescent="0.25">
      <c r="A1473" t="s">
        <v>1679</v>
      </c>
      <c r="B1473" t="str">
        <f>"20093939      "</f>
        <v xml:space="preserve">20093939      </v>
      </c>
      <c r="C1473" t="s">
        <v>5323</v>
      </c>
      <c r="D1473" t="s">
        <v>5323</v>
      </c>
      <c r="E1473" t="s">
        <v>5340</v>
      </c>
      <c r="F1473" t="s">
        <v>5341</v>
      </c>
    </row>
    <row r="1474" spans="1:6" x14ac:dyDescent="0.25">
      <c r="A1474" t="s">
        <v>1679</v>
      </c>
      <c r="B1474" t="str">
        <f>"20093951      "</f>
        <v xml:space="preserve">20093951      </v>
      </c>
      <c r="C1474" t="s">
        <v>5342</v>
      </c>
      <c r="D1474" t="s">
        <v>5342</v>
      </c>
      <c r="E1474" t="s">
        <v>5343</v>
      </c>
      <c r="F1474" t="s">
        <v>5344</v>
      </c>
    </row>
    <row r="1475" spans="1:6" x14ac:dyDescent="0.25">
      <c r="A1475" t="s">
        <v>1679</v>
      </c>
      <c r="B1475" t="str">
        <f>"20093955      "</f>
        <v xml:space="preserve">20093955      </v>
      </c>
      <c r="C1475" t="s">
        <v>5345</v>
      </c>
      <c r="D1475" t="s">
        <v>5345</v>
      </c>
      <c r="E1475" t="s">
        <v>5346</v>
      </c>
      <c r="F1475" t="s">
        <v>5347</v>
      </c>
    </row>
    <row r="1476" spans="1:6" x14ac:dyDescent="0.25">
      <c r="A1476" t="s">
        <v>1679</v>
      </c>
      <c r="B1476" t="str">
        <f>"20093959      "</f>
        <v xml:space="preserve">20093959      </v>
      </c>
      <c r="C1476" t="s">
        <v>5323</v>
      </c>
      <c r="D1476" t="s">
        <v>5323</v>
      </c>
      <c r="E1476" t="s">
        <v>5348</v>
      </c>
      <c r="F1476" t="s">
        <v>5349</v>
      </c>
    </row>
    <row r="1477" spans="1:6" x14ac:dyDescent="0.25">
      <c r="A1477" t="s">
        <v>1679</v>
      </c>
      <c r="B1477" t="str">
        <f>"20093991      "</f>
        <v xml:space="preserve">20093991      </v>
      </c>
      <c r="C1477" t="s">
        <v>5342</v>
      </c>
      <c r="D1477" t="s">
        <v>5342</v>
      </c>
      <c r="E1477" t="s">
        <v>5350</v>
      </c>
      <c r="F1477" t="s">
        <v>5351</v>
      </c>
    </row>
    <row r="1478" spans="1:6" x14ac:dyDescent="0.25">
      <c r="A1478" t="s">
        <v>1679</v>
      </c>
      <c r="B1478" t="str">
        <f>"20093995      "</f>
        <v xml:space="preserve">20093995      </v>
      </c>
      <c r="C1478" t="s">
        <v>5345</v>
      </c>
      <c r="D1478" t="s">
        <v>5345</v>
      </c>
      <c r="E1478" t="s">
        <v>5352</v>
      </c>
      <c r="F1478" t="s">
        <v>5353</v>
      </c>
    </row>
    <row r="1479" spans="1:6" x14ac:dyDescent="0.25">
      <c r="A1479" t="s">
        <v>1679</v>
      </c>
      <c r="B1479" t="str">
        <f>"20093999      "</f>
        <v xml:space="preserve">20093999      </v>
      </c>
      <c r="C1479" t="s">
        <v>5323</v>
      </c>
      <c r="D1479" t="s">
        <v>5323</v>
      </c>
      <c r="E1479" t="s">
        <v>5354</v>
      </c>
      <c r="F1479" t="s">
        <v>5355</v>
      </c>
    </row>
    <row r="1480" spans="1:6" x14ac:dyDescent="0.25">
      <c r="A1480" t="s">
        <v>1679</v>
      </c>
      <c r="B1480" t="str">
        <f>"20094192      "</f>
        <v xml:space="preserve">20094192      </v>
      </c>
      <c r="C1480" t="s">
        <v>5320</v>
      </c>
      <c r="D1480" t="s">
        <v>5320</v>
      </c>
      <c r="E1480" t="s">
        <v>5356</v>
      </c>
      <c r="F1480" t="s">
        <v>5357</v>
      </c>
    </row>
    <row r="1481" spans="1:6" x14ac:dyDescent="0.25">
      <c r="A1481" t="s">
        <v>1679</v>
      </c>
      <c r="B1481" t="str">
        <f>"20094199      "</f>
        <v xml:space="preserve">20094199      </v>
      </c>
      <c r="C1481" t="s">
        <v>5323</v>
      </c>
      <c r="D1481" t="s">
        <v>5323</v>
      </c>
      <c r="E1481" t="s">
        <v>5358</v>
      </c>
      <c r="F1481" t="s">
        <v>5359</v>
      </c>
    </row>
    <row r="1482" spans="1:6" x14ac:dyDescent="0.25">
      <c r="A1482" t="s">
        <v>1679</v>
      </c>
      <c r="B1482" t="str">
        <f>"20094911      "</f>
        <v xml:space="preserve">20094911      </v>
      </c>
      <c r="C1482" t="s">
        <v>5288</v>
      </c>
      <c r="D1482" t="s">
        <v>5288</v>
      </c>
      <c r="E1482" t="s">
        <v>5360</v>
      </c>
      <c r="F1482" t="s">
        <v>5361</v>
      </c>
    </row>
    <row r="1483" spans="1:6" x14ac:dyDescent="0.25">
      <c r="A1483" t="s">
        <v>1679</v>
      </c>
      <c r="B1483" t="str">
        <f>"20094919      "</f>
        <v xml:space="preserve">20094919      </v>
      </c>
      <c r="C1483" t="s">
        <v>4175</v>
      </c>
      <c r="D1483" t="s">
        <v>4175</v>
      </c>
      <c r="E1483" t="s">
        <v>5362</v>
      </c>
      <c r="F1483" t="s">
        <v>5363</v>
      </c>
    </row>
    <row r="1484" spans="1:6" x14ac:dyDescent="0.25">
      <c r="A1484" t="s">
        <v>1679</v>
      </c>
      <c r="B1484" t="str">
        <f>"20094930      "</f>
        <v xml:space="preserve">20094930      </v>
      </c>
      <c r="C1484" t="s">
        <v>5364</v>
      </c>
      <c r="D1484" t="s">
        <v>5364</v>
      </c>
      <c r="E1484" t="s">
        <v>5365</v>
      </c>
      <c r="F1484" t="s">
        <v>5366</v>
      </c>
    </row>
    <row r="1485" spans="1:6" x14ac:dyDescent="0.25">
      <c r="A1485" t="s">
        <v>1679</v>
      </c>
      <c r="B1485" t="str">
        <f>"20094991      "</f>
        <v xml:space="preserve">20094991      </v>
      </c>
      <c r="C1485" t="s">
        <v>5342</v>
      </c>
      <c r="D1485" t="s">
        <v>5342</v>
      </c>
      <c r="E1485" t="s">
        <v>5367</v>
      </c>
      <c r="F1485" t="s">
        <v>5368</v>
      </c>
    </row>
    <row r="1486" spans="1:6" x14ac:dyDescent="0.25">
      <c r="A1486" t="s">
        <v>1679</v>
      </c>
      <c r="B1486" t="str">
        <f>"20094993      "</f>
        <v xml:space="preserve">20094993      </v>
      </c>
      <c r="C1486" t="s">
        <v>5345</v>
      </c>
      <c r="D1486" t="s">
        <v>5345</v>
      </c>
      <c r="E1486" t="s">
        <v>5369</v>
      </c>
      <c r="F1486" t="s">
        <v>5370</v>
      </c>
    </row>
    <row r="1487" spans="1:6" x14ac:dyDescent="0.25">
      <c r="A1487" t="s">
        <v>1679</v>
      </c>
      <c r="B1487" t="str">
        <f>"20094999      "</f>
        <v xml:space="preserve">20094999      </v>
      </c>
      <c r="C1487" t="s">
        <v>5323</v>
      </c>
      <c r="D1487" t="s">
        <v>5323</v>
      </c>
      <c r="E1487" t="s">
        <v>5371</v>
      </c>
      <c r="F1487" t="s">
        <v>5372</v>
      </c>
    </row>
    <row r="1488" spans="1:6" x14ac:dyDescent="0.25">
      <c r="A1488" t="s">
        <v>1679</v>
      </c>
      <c r="B1488" t="str">
        <f>"20095010      "</f>
        <v xml:space="preserve">20095010      </v>
      </c>
      <c r="C1488" t="s">
        <v>5320</v>
      </c>
      <c r="D1488" t="s">
        <v>5320</v>
      </c>
      <c r="E1488" t="s">
        <v>5373</v>
      </c>
      <c r="F1488" t="s">
        <v>5374</v>
      </c>
    </row>
    <row r="1489" spans="1:6" x14ac:dyDescent="0.25">
      <c r="A1489" t="s">
        <v>1679</v>
      </c>
      <c r="B1489" t="str">
        <f>"20095090      "</f>
        <v xml:space="preserve">20095090      </v>
      </c>
      <c r="C1489" t="s">
        <v>4175</v>
      </c>
      <c r="D1489" t="s">
        <v>4175</v>
      </c>
      <c r="E1489" t="s">
        <v>5375</v>
      </c>
      <c r="F1489" t="s">
        <v>5376</v>
      </c>
    </row>
    <row r="1490" spans="1:6" x14ac:dyDescent="0.25">
      <c r="A1490" t="s">
        <v>1679</v>
      </c>
      <c r="B1490" t="str">
        <f>"20096110      "</f>
        <v xml:space="preserve">20096110      </v>
      </c>
      <c r="C1490" t="s">
        <v>5377</v>
      </c>
      <c r="D1490" t="s">
        <v>5377</v>
      </c>
      <c r="E1490" t="s">
        <v>5378</v>
      </c>
      <c r="F1490" t="s">
        <v>5379</v>
      </c>
    </row>
    <row r="1491" spans="1:6" x14ac:dyDescent="0.25">
      <c r="A1491" t="s">
        <v>1679</v>
      </c>
      <c r="B1491" t="str">
        <f>"20096190      "</f>
        <v xml:space="preserve">20096190      </v>
      </c>
      <c r="C1491" t="s">
        <v>5380</v>
      </c>
      <c r="D1491" t="s">
        <v>5380</v>
      </c>
      <c r="E1491" t="s">
        <v>5381</v>
      </c>
      <c r="F1491" t="s">
        <v>5382</v>
      </c>
    </row>
    <row r="1492" spans="1:6" x14ac:dyDescent="0.25">
      <c r="A1492" t="s">
        <v>1679</v>
      </c>
      <c r="B1492" t="str">
        <f>"20096911      "</f>
        <v xml:space="preserve">20096911      </v>
      </c>
      <c r="C1492" t="s">
        <v>5383</v>
      </c>
      <c r="D1492" t="s">
        <v>5383</v>
      </c>
      <c r="E1492" t="s">
        <v>5384</v>
      </c>
      <c r="F1492" t="s">
        <v>5385</v>
      </c>
    </row>
    <row r="1493" spans="1:6" x14ac:dyDescent="0.25">
      <c r="A1493" t="s">
        <v>1679</v>
      </c>
      <c r="B1493" t="str">
        <f>"20096919      "</f>
        <v xml:space="preserve">20096919      </v>
      </c>
      <c r="C1493" t="s">
        <v>4175</v>
      </c>
      <c r="D1493" t="s">
        <v>4175</v>
      </c>
      <c r="E1493" t="s">
        <v>5386</v>
      </c>
      <c r="F1493" t="s">
        <v>5387</v>
      </c>
    </row>
    <row r="1494" spans="1:6" x14ac:dyDescent="0.25">
      <c r="A1494" t="s">
        <v>1679</v>
      </c>
      <c r="B1494" t="str">
        <f>"20096951      "</f>
        <v xml:space="preserve">20096951      </v>
      </c>
      <c r="C1494" t="s">
        <v>5388</v>
      </c>
      <c r="D1494" t="s">
        <v>5388</v>
      </c>
      <c r="E1494" t="s">
        <v>5389</v>
      </c>
      <c r="F1494" t="s">
        <v>5390</v>
      </c>
    </row>
    <row r="1495" spans="1:6" x14ac:dyDescent="0.25">
      <c r="A1495" t="s">
        <v>1679</v>
      </c>
      <c r="B1495" t="str">
        <f>"20096959      "</f>
        <v xml:space="preserve">20096959      </v>
      </c>
      <c r="C1495" t="s">
        <v>4175</v>
      </c>
      <c r="D1495" t="s">
        <v>4175</v>
      </c>
      <c r="E1495" t="s">
        <v>5391</v>
      </c>
      <c r="F1495" t="s">
        <v>5392</v>
      </c>
    </row>
    <row r="1496" spans="1:6" x14ac:dyDescent="0.25">
      <c r="A1496" t="s">
        <v>1679</v>
      </c>
      <c r="B1496" t="str">
        <f>"20096971      "</f>
        <v xml:space="preserve">20096971      </v>
      </c>
      <c r="C1496" t="s">
        <v>5388</v>
      </c>
      <c r="D1496" t="s">
        <v>5388</v>
      </c>
      <c r="E1496" t="s">
        <v>5393</v>
      </c>
      <c r="F1496" t="s">
        <v>5394</v>
      </c>
    </row>
    <row r="1497" spans="1:6" x14ac:dyDescent="0.25">
      <c r="A1497" t="s">
        <v>1679</v>
      </c>
      <c r="B1497" t="str">
        <f>"20096979      "</f>
        <v xml:space="preserve">20096979      </v>
      </c>
      <c r="C1497" t="s">
        <v>4175</v>
      </c>
      <c r="D1497" t="s">
        <v>4175</v>
      </c>
      <c r="E1497" t="s">
        <v>5395</v>
      </c>
      <c r="F1497" t="s">
        <v>5396</v>
      </c>
    </row>
    <row r="1498" spans="1:6" x14ac:dyDescent="0.25">
      <c r="A1498" t="s">
        <v>1679</v>
      </c>
      <c r="B1498" t="str">
        <f>"20096990      "</f>
        <v xml:space="preserve">20096990      </v>
      </c>
      <c r="C1498" t="s">
        <v>4175</v>
      </c>
      <c r="D1498" t="s">
        <v>4175</v>
      </c>
      <c r="E1498" t="s">
        <v>5397</v>
      </c>
      <c r="F1498" t="s">
        <v>5398</v>
      </c>
    </row>
    <row r="1499" spans="1:6" x14ac:dyDescent="0.25">
      <c r="A1499" t="s">
        <v>1679</v>
      </c>
      <c r="B1499" t="str">
        <f>"20097120      "</f>
        <v xml:space="preserve">20097120      </v>
      </c>
      <c r="C1499" t="s">
        <v>5320</v>
      </c>
      <c r="D1499" t="s">
        <v>5320</v>
      </c>
      <c r="E1499" t="s">
        <v>5399</v>
      </c>
      <c r="F1499" t="s">
        <v>5400</v>
      </c>
    </row>
    <row r="1500" spans="1:6" x14ac:dyDescent="0.25">
      <c r="A1500" t="s">
        <v>1679</v>
      </c>
      <c r="B1500" t="str">
        <f>"20097199      "</f>
        <v xml:space="preserve">20097199      </v>
      </c>
      <c r="C1500" t="s">
        <v>5323</v>
      </c>
      <c r="D1500" t="s">
        <v>5323</v>
      </c>
      <c r="E1500" t="s">
        <v>5401</v>
      </c>
      <c r="F1500" t="s">
        <v>5402</v>
      </c>
    </row>
    <row r="1501" spans="1:6" x14ac:dyDescent="0.25">
      <c r="A1501" t="s">
        <v>1679</v>
      </c>
      <c r="B1501" t="str">
        <f>"20097911      "</f>
        <v xml:space="preserve">20097911      </v>
      </c>
      <c r="C1501" t="s">
        <v>5383</v>
      </c>
      <c r="D1501" t="s">
        <v>5383</v>
      </c>
      <c r="E1501" t="s">
        <v>5403</v>
      </c>
      <c r="F1501" t="s">
        <v>5404</v>
      </c>
    </row>
    <row r="1502" spans="1:6" x14ac:dyDescent="0.25">
      <c r="A1502" t="s">
        <v>1679</v>
      </c>
      <c r="B1502" t="str">
        <f>"20097919      "</f>
        <v xml:space="preserve">20097919      </v>
      </c>
      <c r="C1502" t="s">
        <v>4175</v>
      </c>
      <c r="D1502" t="s">
        <v>4175</v>
      </c>
      <c r="E1502" t="s">
        <v>5405</v>
      </c>
      <c r="F1502" t="s">
        <v>5406</v>
      </c>
    </row>
    <row r="1503" spans="1:6" x14ac:dyDescent="0.25">
      <c r="A1503" t="s">
        <v>1679</v>
      </c>
      <c r="B1503" t="str">
        <f>"20097930      "</f>
        <v xml:space="preserve">20097930      </v>
      </c>
      <c r="C1503" t="s">
        <v>5407</v>
      </c>
      <c r="D1503" t="s">
        <v>5407</v>
      </c>
      <c r="E1503" t="s">
        <v>5408</v>
      </c>
      <c r="F1503" t="s">
        <v>5409</v>
      </c>
    </row>
    <row r="1504" spans="1:6" x14ac:dyDescent="0.25">
      <c r="A1504" t="s">
        <v>1679</v>
      </c>
      <c r="B1504" t="str">
        <f>"20097991      "</f>
        <v xml:space="preserve">20097991      </v>
      </c>
      <c r="C1504" t="s">
        <v>5342</v>
      </c>
      <c r="D1504" t="s">
        <v>5342</v>
      </c>
      <c r="E1504" t="s">
        <v>5410</v>
      </c>
      <c r="F1504" t="s">
        <v>5411</v>
      </c>
    </row>
    <row r="1505" spans="1:6" x14ac:dyDescent="0.25">
      <c r="A1505" t="s">
        <v>1679</v>
      </c>
      <c r="B1505" t="str">
        <f>"20097998      "</f>
        <v xml:space="preserve">20097998      </v>
      </c>
      <c r="C1505" t="s">
        <v>4175</v>
      </c>
      <c r="D1505" t="s">
        <v>4175</v>
      </c>
      <c r="E1505" t="s">
        <v>5412</v>
      </c>
      <c r="F1505" t="s">
        <v>5413</v>
      </c>
    </row>
    <row r="1506" spans="1:6" x14ac:dyDescent="0.25">
      <c r="A1506" t="s">
        <v>1679</v>
      </c>
      <c r="B1506" t="str">
        <f>"20098111      "</f>
        <v xml:space="preserve">20098111      </v>
      </c>
      <c r="C1506" t="s">
        <v>5288</v>
      </c>
      <c r="D1506" t="s">
        <v>5288</v>
      </c>
      <c r="E1506" t="s">
        <v>5414</v>
      </c>
      <c r="F1506" t="s">
        <v>5415</v>
      </c>
    </row>
    <row r="1507" spans="1:6" x14ac:dyDescent="0.25">
      <c r="A1507" t="s">
        <v>1679</v>
      </c>
      <c r="B1507" t="str">
        <f>"20098119      "</f>
        <v xml:space="preserve">20098119      </v>
      </c>
      <c r="C1507" t="s">
        <v>4175</v>
      </c>
      <c r="D1507" t="s">
        <v>4175</v>
      </c>
      <c r="E1507" t="s">
        <v>5416</v>
      </c>
      <c r="F1507" t="s">
        <v>5417</v>
      </c>
    </row>
    <row r="1508" spans="1:6" x14ac:dyDescent="0.25">
      <c r="A1508" t="s">
        <v>1679</v>
      </c>
      <c r="B1508" t="str">
        <f>"20098131      "</f>
        <v xml:space="preserve">20098131      </v>
      </c>
      <c r="C1508" t="s">
        <v>5364</v>
      </c>
      <c r="D1508" t="s">
        <v>5364</v>
      </c>
      <c r="E1508" t="s">
        <v>5418</v>
      </c>
      <c r="F1508" t="s">
        <v>5419</v>
      </c>
    </row>
    <row r="1509" spans="1:6" x14ac:dyDescent="0.25">
      <c r="A1509" t="s">
        <v>1679</v>
      </c>
      <c r="B1509" t="str">
        <f>"20098151      "</f>
        <v xml:space="preserve">20098151      </v>
      </c>
      <c r="C1509" t="s">
        <v>5342</v>
      </c>
      <c r="D1509" t="s">
        <v>5342</v>
      </c>
      <c r="E1509" t="s">
        <v>5420</v>
      </c>
      <c r="F1509" t="s">
        <v>5421</v>
      </c>
    </row>
    <row r="1510" spans="1:6" x14ac:dyDescent="0.25">
      <c r="A1510" t="s">
        <v>1679</v>
      </c>
      <c r="B1510" t="str">
        <f>"20098159      "</f>
        <v xml:space="preserve">20098159      </v>
      </c>
      <c r="C1510" t="s">
        <v>5345</v>
      </c>
      <c r="D1510" t="s">
        <v>5345</v>
      </c>
      <c r="E1510" t="s">
        <v>5422</v>
      </c>
      <c r="F1510" t="s">
        <v>5423</v>
      </c>
    </row>
    <row r="1511" spans="1:6" x14ac:dyDescent="0.25">
      <c r="A1511" t="s">
        <v>1679</v>
      </c>
      <c r="B1511" t="str">
        <f>"20098195      "</f>
        <v xml:space="preserve">20098195      </v>
      </c>
      <c r="C1511" t="s">
        <v>5424</v>
      </c>
      <c r="D1511" t="s">
        <v>5424</v>
      </c>
      <c r="E1511" t="s">
        <v>5425</v>
      </c>
      <c r="F1511" t="s">
        <v>5426</v>
      </c>
    </row>
    <row r="1512" spans="1:6" x14ac:dyDescent="0.25">
      <c r="A1512" t="s">
        <v>1679</v>
      </c>
      <c r="B1512" t="str">
        <f>"20098199      "</f>
        <v xml:space="preserve">20098199      </v>
      </c>
      <c r="C1512" t="s">
        <v>4175</v>
      </c>
      <c r="D1512" t="s">
        <v>4175</v>
      </c>
      <c r="E1512" t="s">
        <v>5427</v>
      </c>
      <c r="F1512" t="s">
        <v>5428</v>
      </c>
    </row>
    <row r="1513" spans="1:6" x14ac:dyDescent="0.25">
      <c r="A1513" t="s">
        <v>1679</v>
      </c>
      <c r="B1513" t="str">
        <f>"20098911      "</f>
        <v xml:space="preserve">20098911      </v>
      </c>
      <c r="C1513" t="s">
        <v>5383</v>
      </c>
      <c r="D1513" t="s">
        <v>5383</v>
      </c>
      <c r="E1513" t="s">
        <v>5429</v>
      </c>
      <c r="F1513" t="s">
        <v>5430</v>
      </c>
    </row>
    <row r="1514" spans="1:6" x14ac:dyDescent="0.25">
      <c r="A1514" t="s">
        <v>1679</v>
      </c>
      <c r="B1514" t="str">
        <f>"20098919      "</f>
        <v xml:space="preserve">20098919      </v>
      </c>
      <c r="C1514" t="s">
        <v>4175</v>
      </c>
      <c r="D1514" t="s">
        <v>4175</v>
      </c>
      <c r="E1514" t="s">
        <v>5431</v>
      </c>
      <c r="F1514" t="s">
        <v>5432</v>
      </c>
    </row>
    <row r="1515" spans="1:6" x14ac:dyDescent="0.25">
      <c r="A1515" t="s">
        <v>1679</v>
      </c>
      <c r="B1515" t="str">
        <f>"20098934      "</f>
        <v xml:space="preserve">20098934      </v>
      </c>
      <c r="C1515" t="s">
        <v>5433</v>
      </c>
      <c r="D1515" t="s">
        <v>5433</v>
      </c>
      <c r="E1515" t="s">
        <v>5434</v>
      </c>
      <c r="F1515" t="s">
        <v>5435</v>
      </c>
    </row>
    <row r="1516" spans="1:6" x14ac:dyDescent="0.25">
      <c r="A1516" t="s">
        <v>1679</v>
      </c>
      <c r="B1516" t="str">
        <f>"20098935      "</f>
        <v xml:space="preserve">20098935      </v>
      </c>
      <c r="C1516" t="s">
        <v>4175</v>
      </c>
      <c r="D1516" t="s">
        <v>4175</v>
      </c>
      <c r="E1516" t="s">
        <v>5436</v>
      </c>
      <c r="F1516" t="s">
        <v>5437</v>
      </c>
    </row>
    <row r="1517" spans="1:6" x14ac:dyDescent="0.25">
      <c r="A1517" t="s">
        <v>1679</v>
      </c>
      <c r="B1517" t="str">
        <f>"20098936      "</f>
        <v xml:space="preserve">20098936      </v>
      </c>
      <c r="C1517" t="s">
        <v>5433</v>
      </c>
      <c r="D1517" t="s">
        <v>5433</v>
      </c>
      <c r="E1517" t="s">
        <v>5438</v>
      </c>
      <c r="F1517" t="s">
        <v>5439</v>
      </c>
    </row>
    <row r="1518" spans="1:6" x14ac:dyDescent="0.25">
      <c r="A1518" t="s">
        <v>1679</v>
      </c>
      <c r="B1518" t="str">
        <f>"20098938      "</f>
        <v xml:space="preserve">20098938      </v>
      </c>
      <c r="C1518" t="s">
        <v>4175</v>
      </c>
      <c r="D1518" t="s">
        <v>4175</v>
      </c>
      <c r="E1518" t="s">
        <v>5440</v>
      </c>
      <c r="F1518" t="s">
        <v>5441</v>
      </c>
    </row>
    <row r="1519" spans="1:6" x14ac:dyDescent="0.25">
      <c r="A1519" t="s">
        <v>1679</v>
      </c>
      <c r="B1519" t="str">
        <f>"20098950      "</f>
        <v xml:space="preserve">20098950      </v>
      </c>
      <c r="C1519" t="s">
        <v>5407</v>
      </c>
      <c r="D1519" t="s">
        <v>5407</v>
      </c>
      <c r="E1519" t="s">
        <v>5442</v>
      </c>
      <c r="F1519" t="s">
        <v>5443</v>
      </c>
    </row>
    <row r="1520" spans="1:6" x14ac:dyDescent="0.25">
      <c r="A1520" t="s">
        <v>1679</v>
      </c>
      <c r="B1520" t="str">
        <f>"20098961      "</f>
        <v xml:space="preserve">20098961      </v>
      </c>
      <c r="C1520" t="s">
        <v>5342</v>
      </c>
      <c r="D1520" t="s">
        <v>5342</v>
      </c>
      <c r="E1520" t="s">
        <v>5444</v>
      </c>
      <c r="F1520" t="s">
        <v>5445</v>
      </c>
    </row>
    <row r="1521" spans="1:6" x14ac:dyDescent="0.25">
      <c r="A1521" t="s">
        <v>1679</v>
      </c>
      <c r="B1521" t="str">
        <f>"20098963      "</f>
        <v xml:space="preserve">20098963      </v>
      </c>
      <c r="C1521" t="s">
        <v>5345</v>
      </c>
      <c r="D1521" t="s">
        <v>5345</v>
      </c>
      <c r="E1521" t="s">
        <v>5446</v>
      </c>
      <c r="F1521" t="s">
        <v>5447</v>
      </c>
    </row>
    <row r="1522" spans="1:6" x14ac:dyDescent="0.25">
      <c r="A1522" t="s">
        <v>1679</v>
      </c>
      <c r="B1522" t="str">
        <f>"20098969      "</f>
        <v xml:space="preserve">20098969      </v>
      </c>
      <c r="C1522" t="s">
        <v>5323</v>
      </c>
      <c r="D1522" t="s">
        <v>5323</v>
      </c>
      <c r="E1522" t="s">
        <v>5448</v>
      </c>
      <c r="F1522" t="s">
        <v>5449</v>
      </c>
    </row>
    <row r="1523" spans="1:6" x14ac:dyDescent="0.25">
      <c r="A1523" t="s">
        <v>1679</v>
      </c>
      <c r="B1523" t="str">
        <f>"20098971      "</f>
        <v xml:space="preserve">20098971      </v>
      </c>
      <c r="C1523" t="s">
        <v>5450</v>
      </c>
      <c r="D1523" t="s">
        <v>5450</v>
      </c>
      <c r="E1523" t="s">
        <v>5451</v>
      </c>
      <c r="F1523" t="s">
        <v>5452</v>
      </c>
    </row>
    <row r="1524" spans="1:6" x14ac:dyDescent="0.25">
      <c r="A1524" t="s">
        <v>1679</v>
      </c>
      <c r="B1524" t="str">
        <f>"20098973      "</f>
        <v xml:space="preserve">20098973      </v>
      </c>
      <c r="C1524" t="s">
        <v>5433</v>
      </c>
      <c r="D1524" t="s">
        <v>5433</v>
      </c>
      <c r="E1524" t="s">
        <v>5453</v>
      </c>
      <c r="F1524" t="s">
        <v>5454</v>
      </c>
    </row>
    <row r="1525" spans="1:6" x14ac:dyDescent="0.25">
      <c r="A1525" t="s">
        <v>1679</v>
      </c>
      <c r="B1525" t="str">
        <f>"20098979      "</f>
        <v xml:space="preserve">20098979      </v>
      </c>
      <c r="C1525" t="s">
        <v>4175</v>
      </c>
      <c r="D1525" t="s">
        <v>4175</v>
      </c>
      <c r="E1525" t="s">
        <v>5455</v>
      </c>
      <c r="F1525" t="s">
        <v>5456</v>
      </c>
    </row>
    <row r="1526" spans="1:6" x14ac:dyDescent="0.25">
      <c r="A1526" t="s">
        <v>1679</v>
      </c>
      <c r="B1526" t="str">
        <f>"20098985      "</f>
        <v xml:space="preserve">20098985      </v>
      </c>
      <c r="C1526" t="s">
        <v>5433</v>
      </c>
      <c r="D1526" t="s">
        <v>5433</v>
      </c>
      <c r="E1526" t="s">
        <v>5457</v>
      </c>
      <c r="F1526" t="s">
        <v>5458</v>
      </c>
    </row>
    <row r="1527" spans="1:6" x14ac:dyDescent="0.25">
      <c r="A1527" t="s">
        <v>1679</v>
      </c>
      <c r="B1527" t="str">
        <f>"20098986      "</f>
        <v xml:space="preserve">20098986      </v>
      </c>
      <c r="C1527" t="s">
        <v>4175</v>
      </c>
      <c r="D1527" t="s">
        <v>4175</v>
      </c>
      <c r="E1527" t="s">
        <v>5459</v>
      </c>
      <c r="F1527" t="s">
        <v>5460</v>
      </c>
    </row>
    <row r="1528" spans="1:6" x14ac:dyDescent="0.25">
      <c r="A1528" t="s">
        <v>1679</v>
      </c>
      <c r="B1528" t="str">
        <f>"20098988      "</f>
        <v xml:space="preserve">20098988      </v>
      </c>
      <c r="C1528" t="s">
        <v>5433</v>
      </c>
      <c r="D1528" t="s">
        <v>5433</v>
      </c>
      <c r="E1528" t="s">
        <v>5461</v>
      </c>
      <c r="F1528" t="s">
        <v>5462</v>
      </c>
    </row>
    <row r="1529" spans="1:6" x14ac:dyDescent="0.25">
      <c r="A1529" t="s">
        <v>1679</v>
      </c>
      <c r="B1529" t="str">
        <f>"20098989      "</f>
        <v xml:space="preserve">20098989      </v>
      </c>
      <c r="C1529" t="s">
        <v>4175</v>
      </c>
      <c r="D1529" t="s">
        <v>4175</v>
      </c>
      <c r="E1529" t="s">
        <v>5463</v>
      </c>
      <c r="F1529" t="s">
        <v>5464</v>
      </c>
    </row>
    <row r="1530" spans="1:6" x14ac:dyDescent="0.25">
      <c r="A1530" t="s">
        <v>1679</v>
      </c>
      <c r="B1530" t="str">
        <f>"20098996      "</f>
        <v xml:space="preserve">20098996      </v>
      </c>
      <c r="C1530" t="s">
        <v>5450</v>
      </c>
      <c r="D1530" t="s">
        <v>5450</v>
      </c>
      <c r="E1530" t="s">
        <v>5465</v>
      </c>
      <c r="F1530" t="s">
        <v>5466</v>
      </c>
    </row>
    <row r="1531" spans="1:6" x14ac:dyDescent="0.25">
      <c r="A1531" t="s">
        <v>1679</v>
      </c>
      <c r="B1531" t="str">
        <f>"20098997      "</f>
        <v xml:space="preserve">20098997      </v>
      </c>
      <c r="C1531" t="s">
        <v>5433</v>
      </c>
      <c r="D1531" t="s">
        <v>5433</v>
      </c>
      <c r="E1531" t="s">
        <v>5467</v>
      </c>
      <c r="F1531" t="s">
        <v>5468</v>
      </c>
    </row>
    <row r="1532" spans="1:6" x14ac:dyDescent="0.25">
      <c r="A1532" t="s">
        <v>1679</v>
      </c>
      <c r="B1532" t="str">
        <f>"20098999      "</f>
        <v xml:space="preserve">20098999      </v>
      </c>
      <c r="C1532" t="s">
        <v>4175</v>
      </c>
      <c r="D1532" t="s">
        <v>4175</v>
      </c>
      <c r="E1532" t="s">
        <v>5469</v>
      </c>
      <c r="F1532" t="s">
        <v>5470</v>
      </c>
    </row>
    <row r="1533" spans="1:6" x14ac:dyDescent="0.25">
      <c r="A1533" t="s">
        <v>1679</v>
      </c>
      <c r="B1533" t="str">
        <f>"20099011      "</f>
        <v xml:space="preserve">20099011      </v>
      </c>
      <c r="C1533" t="s">
        <v>5383</v>
      </c>
      <c r="D1533" t="s">
        <v>5383</v>
      </c>
      <c r="E1533" t="s">
        <v>5471</v>
      </c>
      <c r="F1533" t="s">
        <v>5472</v>
      </c>
    </row>
    <row r="1534" spans="1:6" x14ac:dyDescent="0.25">
      <c r="A1534" t="s">
        <v>1679</v>
      </c>
      <c r="B1534" t="str">
        <f>"20099019      "</f>
        <v xml:space="preserve">20099019      </v>
      </c>
      <c r="C1534" t="s">
        <v>4175</v>
      </c>
      <c r="D1534" t="s">
        <v>4175</v>
      </c>
      <c r="E1534" t="s">
        <v>5473</v>
      </c>
      <c r="F1534" t="s">
        <v>5474</v>
      </c>
    </row>
    <row r="1535" spans="1:6" x14ac:dyDescent="0.25">
      <c r="A1535" t="s">
        <v>1679</v>
      </c>
      <c r="B1535" t="str">
        <f>"20099021      "</f>
        <v xml:space="preserve">20099021      </v>
      </c>
      <c r="C1535" t="s">
        <v>5288</v>
      </c>
      <c r="D1535" t="s">
        <v>5288</v>
      </c>
      <c r="E1535" t="s">
        <v>5475</v>
      </c>
      <c r="F1535" t="s">
        <v>5476</v>
      </c>
    </row>
    <row r="1536" spans="1:6" x14ac:dyDescent="0.25">
      <c r="A1536" t="s">
        <v>1679</v>
      </c>
      <c r="B1536" t="str">
        <f>"20099029      "</f>
        <v xml:space="preserve">20099029      </v>
      </c>
      <c r="C1536" t="s">
        <v>4175</v>
      </c>
      <c r="D1536" t="s">
        <v>4175</v>
      </c>
      <c r="E1536" t="s">
        <v>5477</v>
      </c>
      <c r="F1536" t="s">
        <v>5478</v>
      </c>
    </row>
    <row r="1537" spans="1:6" x14ac:dyDescent="0.25">
      <c r="A1537" t="s">
        <v>1679</v>
      </c>
      <c r="B1537" t="str">
        <f>"20099031      "</f>
        <v xml:space="preserve">20099031      </v>
      </c>
      <c r="C1537" t="s">
        <v>5479</v>
      </c>
      <c r="D1537" t="s">
        <v>5479</v>
      </c>
      <c r="E1537" t="s">
        <v>5480</v>
      </c>
      <c r="F1537" t="s">
        <v>5481</v>
      </c>
    </row>
    <row r="1538" spans="1:6" x14ac:dyDescent="0.25">
      <c r="A1538" t="s">
        <v>1679</v>
      </c>
      <c r="B1538" t="str">
        <f>"20099039      "</f>
        <v xml:space="preserve">20099039      </v>
      </c>
      <c r="C1538" t="s">
        <v>4175</v>
      </c>
      <c r="D1538" t="s">
        <v>4175</v>
      </c>
      <c r="E1538" t="s">
        <v>5482</v>
      </c>
      <c r="F1538" t="s">
        <v>5483</v>
      </c>
    </row>
    <row r="1539" spans="1:6" x14ac:dyDescent="0.25">
      <c r="A1539" t="s">
        <v>1679</v>
      </c>
      <c r="B1539" t="str">
        <f>"20099041      "</f>
        <v xml:space="preserve">20099041      </v>
      </c>
      <c r="C1539" t="s">
        <v>5320</v>
      </c>
      <c r="D1539" t="s">
        <v>5320</v>
      </c>
      <c r="E1539" t="s">
        <v>5484</v>
      </c>
      <c r="F1539" t="s">
        <v>5485</v>
      </c>
    </row>
    <row r="1540" spans="1:6" x14ac:dyDescent="0.25">
      <c r="A1540" t="s">
        <v>1679</v>
      </c>
      <c r="B1540" t="str">
        <f>"20099049      "</f>
        <v xml:space="preserve">20099049      </v>
      </c>
      <c r="C1540" t="s">
        <v>4175</v>
      </c>
      <c r="D1540" t="s">
        <v>4175</v>
      </c>
      <c r="E1540" t="s">
        <v>5486</v>
      </c>
      <c r="F1540" t="s">
        <v>5487</v>
      </c>
    </row>
    <row r="1541" spans="1:6" x14ac:dyDescent="0.25">
      <c r="A1541" t="s">
        <v>1679</v>
      </c>
      <c r="B1541" t="str">
        <f>"20099051      "</f>
        <v xml:space="preserve">20099051      </v>
      </c>
      <c r="C1541" t="s">
        <v>5320</v>
      </c>
      <c r="D1541" t="s">
        <v>5320</v>
      </c>
      <c r="E1541" t="s">
        <v>5488</v>
      </c>
      <c r="F1541" t="s">
        <v>5489</v>
      </c>
    </row>
    <row r="1542" spans="1:6" x14ac:dyDescent="0.25">
      <c r="A1542" t="s">
        <v>1679</v>
      </c>
      <c r="B1542" t="str">
        <f>"20099059      "</f>
        <v xml:space="preserve">20099059      </v>
      </c>
      <c r="C1542" t="s">
        <v>4175</v>
      </c>
      <c r="D1542" t="s">
        <v>4175</v>
      </c>
      <c r="E1542" t="s">
        <v>5490</v>
      </c>
      <c r="F1542" t="s">
        <v>5491</v>
      </c>
    </row>
    <row r="1543" spans="1:6" x14ac:dyDescent="0.25">
      <c r="A1543" t="s">
        <v>1679</v>
      </c>
      <c r="B1543" t="str">
        <f>"20099071      "</f>
        <v xml:space="preserve">20099071      </v>
      </c>
      <c r="C1543" t="s">
        <v>5342</v>
      </c>
      <c r="D1543" t="s">
        <v>5342</v>
      </c>
      <c r="E1543" t="s">
        <v>5492</v>
      </c>
      <c r="F1543" t="s">
        <v>5493</v>
      </c>
    </row>
    <row r="1544" spans="1:6" x14ac:dyDescent="0.25">
      <c r="A1544" t="s">
        <v>1679</v>
      </c>
      <c r="B1544" t="str">
        <f>"20099073      "</f>
        <v xml:space="preserve">20099073      </v>
      </c>
      <c r="C1544" t="s">
        <v>5345</v>
      </c>
      <c r="D1544" t="s">
        <v>5345</v>
      </c>
      <c r="E1544" t="s">
        <v>5494</v>
      </c>
      <c r="F1544" t="s">
        <v>5495</v>
      </c>
    </row>
    <row r="1545" spans="1:6" x14ac:dyDescent="0.25">
      <c r="A1545" t="s">
        <v>1679</v>
      </c>
      <c r="B1545" t="str">
        <f>"20099079      "</f>
        <v xml:space="preserve">20099079      </v>
      </c>
      <c r="C1545" t="s">
        <v>5323</v>
      </c>
      <c r="D1545" t="s">
        <v>5323</v>
      </c>
      <c r="E1545" t="s">
        <v>5496</v>
      </c>
      <c r="F1545" t="s">
        <v>5497</v>
      </c>
    </row>
    <row r="1546" spans="1:6" x14ac:dyDescent="0.25">
      <c r="A1546" t="s">
        <v>1679</v>
      </c>
      <c r="B1546" t="str">
        <f>"20099092      "</f>
        <v xml:space="preserve">20099092      </v>
      </c>
      <c r="C1546" t="s">
        <v>5498</v>
      </c>
      <c r="D1546" t="s">
        <v>5498</v>
      </c>
      <c r="E1546" t="s">
        <v>5499</v>
      </c>
      <c r="F1546" t="s">
        <v>5500</v>
      </c>
    </row>
    <row r="1547" spans="1:6" x14ac:dyDescent="0.25">
      <c r="A1547" t="s">
        <v>1679</v>
      </c>
      <c r="B1547" t="str">
        <f>"20099094      "</f>
        <v xml:space="preserve">20099094      </v>
      </c>
      <c r="C1547" t="s">
        <v>4175</v>
      </c>
      <c r="D1547" t="s">
        <v>4175</v>
      </c>
      <c r="E1547" t="s">
        <v>5501</v>
      </c>
      <c r="F1547" t="s">
        <v>5502</v>
      </c>
    </row>
    <row r="1548" spans="1:6" x14ac:dyDescent="0.25">
      <c r="A1548" t="s">
        <v>1679</v>
      </c>
      <c r="B1548" t="str">
        <f>"20099095      "</f>
        <v xml:space="preserve">20099095      </v>
      </c>
      <c r="C1548" t="s">
        <v>5498</v>
      </c>
      <c r="D1548" t="s">
        <v>5498</v>
      </c>
      <c r="E1548" t="s">
        <v>5503</v>
      </c>
      <c r="F1548" t="s">
        <v>5504</v>
      </c>
    </row>
    <row r="1549" spans="1:6" x14ac:dyDescent="0.25">
      <c r="A1549" t="s">
        <v>1679</v>
      </c>
      <c r="B1549" t="str">
        <f>"20099096      "</f>
        <v xml:space="preserve">20099096      </v>
      </c>
      <c r="C1549" t="s">
        <v>4175</v>
      </c>
      <c r="D1549" t="s">
        <v>4175</v>
      </c>
      <c r="E1549" t="s">
        <v>5505</v>
      </c>
      <c r="F1549" t="s">
        <v>5506</v>
      </c>
    </row>
    <row r="1550" spans="1:6" x14ac:dyDescent="0.25">
      <c r="A1550" t="s">
        <v>1679</v>
      </c>
      <c r="B1550" t="str">
        <f>"20099097      "</f>
        <v xml:space="preserve">20099097      </v>
      </c>
      <c r="C1550" t="s">
        <v>5498</v>
      </c>
      <c r="D1550" t="s">
        <v>5498</v>
      </c>
      <c r="E1550" t="s">
        <v>5507</v>
      </c>
      <c r="F1550" t="s">
        <v>5508</v>
      </c>
    </row>
    <row r="1551" spans="1:6" x14ac:dyDescent="0.25">
      <c r="A1551" t="s">
        <v>1679</v>
      </c>
      <c r="B1551" t="str">
        <f>"20099098      "</f>
        <v xml:space="preserve">20099098      </v>
      </c>
      <c r="C1551" t="s">
        <v>4175</v>
      </c>
      <c r="D1551" t="s">
        <v>4175</v>
      </c>
      <c r="E1551" t="s">
        <v>5509</v>
      </c>
      <c r="F1551" t="s">
        <v>5510</v>
      </c>
    </row>
    <row r="1552" spans="1:6" x14ac:dyDescent="0.25">
      <c r="A1552" t="s">
        <v>1679</v>
      </c>
      <c r="B1552" t="str">
        <f>"23061000      "</f>
        <v xml:space="preserve">23061000      </v>
      </c>
      <c r="C1552" t="s">
        <v>5511</v>
      </c>
      <c r="D1552" t="s">
        <v>5511</v>
      </c>
      <c r="E1552" t="s">
        <v>5512</v>
      </c>
      <c r="F1552" t="s">
        <v>5513</v>
      </c>
    </row>
    <row r="1553" spans="1:6" x14ac:dyDescent="0.25">
      <c r="A1553" t="s">
        <v>1679</v>
      </c>
      <c r="B1553" t="str">
        <f>"23062000      "</f>
        <v xml:space="preserve">23062000      </v>
      </c>
      <c r="C1553" t="s">
        <v>5514</v>
      </c>
      <c r="D1553" t="s">
        <v>5514</v>
      </c>
      <c r="E1553" t="s">
        <v>5515</v>
      </c>
      <c r="F1553" t="s">
        <v>5516</v>
      </c>
    </row>
    <row r="1554" spans="1:6" x14ac:dyDescent="0.25">
      <c r="A1554" t="s">
        <v>1679</v>
      </c>
      <c r="B1554" t="str">
        <f>"23063000      "</f>
        <v xml:space="preserve">23063000      </v>
      </c>
      <c r="C1554" t="s">
        <v>5517</v>
      </c>
      <c r="D1554" t="s">
        <v>5517</v>
      </c>
      <c r="E1554" t="s">
        <v>5518</v>
      </c>
      <c r="F1554" t="s">
        <v>5519</v>
      </c>
    </row>
    <row r="1555" spans="1:6" x14ac:dyDescent="0.25">
      <c r="A1555" t="s">
        <v>1679</v>
      </c>
      <c r="B1555" t="str">
        <f>"23064100      "</f>
        <v xml:space="preserve">23064100      </v>
      </c>
      <c r="C1555" t="s">
        <v>5520</v>
      </c>
      <c r="D1555" t="s">
        <v>5520</v>
      </c>
      <c r="E1555" t="s">
        <v>5521</v>
      </c>
      <c r="F1555" t="s">
        <v>5522</v>
      </c>
    </row>
    <row r="1556" spans="1:6" x14ac:dyDescent="0.25">
      <c r="A1556" t="s">
        <v>1679</v>
      </c>
      <c r="B1556" t="str">
        <f>"23064900      "</f>
        <v xml:space="preserve">23064900      </v>
      </c>
      <c r="C1556" t="s">
        <v>4175</v>
      </c>
      <c r="D1556" t="s">
        <v>4175</v>
      </c>
      <c r="E1556" t="s">
        <v>5523</v>
      </c>
      <c r="F1556" t="s">
        <v>5524</v>
      </c>
    </row>
    <row r="1557" spans="1:6" x14ac:dyDescent="0.25">
      <c r="A1557" t="s">
        <v>1679</v>
      </c>
      <c r="B1557" t="str">
        <f>"23065000      "</f>
        <v xml:space="preserve">23065000      </v>
      </c>
      <c r="C1557" t="s">
        <v>5525</v>
      </c>
      <c r="D1557" t="s">
        <v>5525</v>
      </c>
      <c r="E1557" t="s">
        <v>5526</v>
      </c>
      <c r="F1557" t="s">
        <v>5527</v>
      </c>
    </row>
    <row r="1558" spans="1:6" x14ac:dyDescent="0.25">
      <c r="A1558" t="s">
        <v>1679</v>
      </c>
      <c r="B1558" t="str">
        <f>"23066000      "</f>
        <v xml:space="preserve">23066000      </v>
      </c>
      <c r="C1558" t="s">
        <v>5528</v>
      </c>
      <c r="D1558" t="s">
        <v>5528</v>
      </c>
      <c r="E1558" t="s">
        <v>5529</v>
      </c>
      <c r="F1558" t="s">
        <v>5530</v>
      </c>
    </row>
    <row r="1559" spans="1:6" x14ac:dyDescent="0.25">
      <c r="A1559" t="s">
        <v>1679</v>
      </c>
      <c r="B1559" t="str">
        <f>"23069005      "</f>
        <v xml:space="preserve">23069005      </v>
      </c>
      <c r="C1559" t="s">
        <v>5531</v>
      </c>
      <c r="D1559" t="s">
        <v>5531</v>
      </c>
      <c r="E1559" t="s">
        <v>5532</v>
      </c>
      <c r="F1559" t="s">
        <v>5533</v>
      </c>
    </row>
    <row r="1560" spans="1:6" x14ac:dyDescent="0.25">
      <c r="A1560" t="s">
        <v>1679</v>
      </c>
      <c r="B1560" t="str">
        <f>"23069011      "</f>
        <v xml:space="preserve">23069011      </v>
      </c>
      <c r="C1560" t="s">
        <v>5534</v>
      </c>
      <c r="D1560" t="s">
        <v>5534</v>
      </c>
      <c r="E1560" t="s">
        <v>5535</v>
      </c>
      <c r="F1560" t="s">
        <v>5536</v>
      </c>
    </row>
    <row r="1561" spans="1:6" x14ac:dyDescent="0.25">
      <c r="A1561" t="s">
        <v>1679</v>
      </c>
      <c r="B1561" t="str">
        <f>"23069019      "</f>
        <v xml:space="preserve">23069019      </v>
      </c>
      <c r="C1561" t="s">
        <v>5537</v>
      </c>
      <c r="D1561" t="s">
        <v>5537</v>
      </c>
      <c r="E1561" t="s">
        <v>5538</v>
      </c>
      <c r="F1561" t="s">
        <v>5539</v>
      </c>
    </row>
    <row r="1562" spans="1:6" x14ac:dyDescent="0.25">
      <c r="A1562" t="s">
        <v>1679</v>
      </c>
      <c r="B1562" t="str">
        <f>"23069090      "</f>
        <v xml:space="preserve">23069090      </v>
      </c>
      <c r="C1562" t="s">
        <v>4175</v>
      </c>
      <c r="D1562" t="s">
        <v>4175</v>
      </c>
      <c r="E1562" t="s">
        <v>5540</v>
      </c>
      <c r="F1562" t="s">
        <v>5541</v>
      </c>
    </row>
    <row r="1563" spans="1:6" x14ac:dyDescent="0.25">
      <c r="A1563" t="s">
        <v>1679</v>
      </c>
      <c r="B1563" t="str">
        <f>"24011035      "</f>
        <v xml:space="preserve">24011035      </v>
      </c>
      <c r="C1563" t="s">
        <v>5542</v>
      </c>
      <c r="D1563" t="s">
        <v>5542</v>
      </c>
      <c r="E1563" t="s">
        <v>5543</v>
      </c>
      <c r="F1563" t="s">
        <v>5544</v>
      </c>
    </row>
    <row r="1564" spans="1:6" x14ac:dyDescent="0.25">
      <c r="A1564" t="s">
        <v>1679</v>
      </c>
      <c r="B1564" t="str">
        <f>"24011060      "</f>
        <v xml:space="preserve">24011060      </v>
      </c>
      <c r="C1564" t="s">
        <v>5545</v>
      </c>
      <c r="D1564" t="s">
        <v>5545</v>
      </c>
      <c r="E1564" t="s">
        <v>5546</v>
      </c>
      <c r="F1564" t="s">
        <v>5547</v>
      </c>
    </row>
    <row r="1565" spans="1:6" x14ac:dyDescent="0.25">
      <c r="A1565" t="s">
        <v>1679</v>
      </c>
      <c r="B1565" t="str">
        <f>"24011070      "</f>
        <v xml:space="preserve">24011070      </v>
      </c>
      <c r="C1565" t="s">
        <v>5548</v>
      </c>
      <c r="D1565" t="s">
        <v>5548</v>
      </c>
      <c r="E1565" t="s">
        <v>5549</v>
      </c>
      <c r="F1565" t="s">
        <v>5550</v>
      </c>
    </row>
    <row r="1566" spans="1:6" x14ac:dyDescent="0.25">
      <c r="A1566" t="s">
        <v>1679</v>
      </c>
      <c r="B1566" t="str">
        <f>"24011085      "</f>
        <v xml:space="preserve">24011085      </v>
      </c>
      <c r="C1566" t="s">
        <v>5551</v>
      </c>
      <c r="D1566" t="s">
        <v>5551</v>
      </c>
      <c r="E1566" t="s">
        <v>5552</v>
      </c>
      <c r="F1566" t="s">
        <v>5553</v>
      </c>
    </row>
    <row r="1567" spans="1:6" x14ac:dyDescent="0.25">
      <c r="A1567" t="s">
        <v>1679</v>
      </c>
      <c r="B1567" t="str">
        <f>"24011095      "</f>
        <v xml:space="preserve">24011095      </v>
      </c>
      <c r="C1567" t="s">
        <v>4175</v>
      </c>
      <c r="D1567" t="s">
        <v>4175</v>
      </c>
      <c r="E1567" t="s">
        <v>5554</v>
      </c>
      <c r="F1567" t="s">
        <v>5555</v>
      </c>
    </row>
    <row r="1568" spans="1:6" x14ac:dyDescent="0.25">
      <c r="A1568" t="s">
        <v>1679</v>
      </c>
      <c r="B1568" t="str">
        <f>"24012035      "</f>
        <v xml:space="preserve">24012035      </v>
      </c>
      <c r="C1568" t="s">
        <v>5542</v>
      </c>
      <c r="D1568" t="s">
        <v>5542</v>
      </c>
      <c r="E1568" t="s">
        <v>5556</v>
      </c>
      <c r="F1568" t="s">
        <v>5557</v>
      </c>
    </row>
    <row r="1569" spans="1:6" x14ac:dyDescent="0.25">
      <c r="A1569" t="s">
        <v>1679</v>
      </c>
      <c r="B1569" t="str">
        <f>"24012060      "</f>
        <v xml:space="preserve">24012060      </v>
      </c>
      <c r="C1569" t="s">
        <v>5545</v>
      </c>
      <c r="D1569" t="s">
        <v>5545</v>
      </c>
      <c r="E1569" t="s">
        <v>5558</v>
      </c>
      <c r="F1569" t="s">
        <v>5559</v>
      </c>
    </row>
    <row r="1570" spans="1:6" x14ac:dyDescent="0.25">
      <c r="A1570" t="s">
        <v>1679</v>
      </c>
      <c r="B1570" t="str">
        <f>"24012070      "</f>
        <v xml:space="preserve">24012070      </v>
      </c>
      <c r="C1570" t="s">
        <v>5548</v>
      </c>
      <c r="D1570" t="s">
        <v>5548</v>
      </c>
      <c r="E1570" t="s">
        <v>5560</v>
      </c>
      <c r="F1570" t="s">
        <v>5561</v>
      </c>
    </row>
    <row r="1571" spans="1:6" x14ac:dyDescent="0.25">
      <c r="A1571" t="s">
        <v>1679</v>
      </c>
      <c r="B1571" t="str">
        <f>"24012085      "</f>
        <v xml:space="preserve">24012085      </v>
      </c>
      <c r="C1571" t="s">
        <v>5551</v>
      </c>
      <c r="D1571" t="s">
        <v>5551</v>
      </c>
      <c r="E1571" t="s">
        <v>5562</v>
      </c>
      <c r="F1571" t="s">
        <v>5563</v>
      </c>
    </row>
    <row r="1572" spans="1:6" x14ac:dyDescent="0.25">
      <c r="A1572" t="s">
        <v>1679</v>
      </c>
      <c r="B1572" t="str">
        <f>"24012095      "</f>
        <v xml:space="preserve">24012095      </v>
      </c>
      <c r="C1572" t="s">
        <v>4175</v>
      </c>
      <c r="D1572" t="s">
        <v>4175</v>
      </c>
      <c r="E1572" t="s">
        <v>5564</v>
      </c>
      <c r="F1572" t="s">
        <v>5565</v>
      </c>
    </row>
    <row r="1573" spans="1:6" x14ac:dyDescent="0.25">
      <c r="A1573" t="s">
        <v>1679</v>
      </c>
      <c r="B1573" t="str">
        <f>"24013000      "</f>
        <v xml:space="preserve">24013000      </v>
      </c>
      <c r="C1573" t="s">
        <v>5566</v>
      </c>
      <c r="D1573" t="s">
        <v>5566</v>
      </c>
      <c r="E1573" t="s">
        <v>5567</v>
      </c>
      <c r="F1573" t="s">
        <v>5568</v>
      </c>
    </row>
    <row r="1574" spans="1:6" x14ac:dyDescent="0.25">
      <c r="A1574" t="s">
        <v>1679</v>
      </c>
      <c r="B1574" t="str">
        <f>"24021000      "</f>
        <v xml:space="preserve">24021000      </v>
      </c>
      <c r="C1574" t="s">
        <v>5569</v>
      </c>
      <c r="D1574" t="s">
        <v>5569</v>
      </c>
      <c r="E1574" t="s">
        <v>5570</v>
      </c>
      <c r="F1574" t="s">
        <v>5571</v>
      </c>
    </row>
    <row r="1575" spans="1:6" x14ac:dyDescent="0.25">
      <c r="A1575" t="s">
        <v>1679</v>
      </c>
      <c r="B1575" t="str">
        <f>"24022010      "</f>
        <v xml:space="preserve">24022010      </v>
      </c>
      <c r="C1575" t="s">
        <v>5572</v>
      </c>
      <c r="D1575" t="s">
        <v>5572</v>
      </c>
      <c r="E1575" t="s">
        <v>5573</v>
      </c>
      <c r="F1575" t="s">
        <v>5574</v>
      </c>
    </row>
    <row r="1576" spans="1:6" x14ac:dyDescent="0.25">
      <c r="A1576" t="s">
        <v>1679</v>
      </c>
      <c r="B1576" t="str">
        <f>"24022090      "</f>
        <v xml:space="preserve">24022090      </v>
      </c>
      <c r="C1576" t="s">
        <v>4175</v>
      </c>
      <c r="D1576" t="s">
        <v>4175</v>
      </c>
      <c r="E1576" t="s">
        <v>5575</v>
      </c>
      <c r="F1576" t="s">
        <v>5576</v>
      </c>
    </row>
    <row r="1577" spans="1:6" x14ac:dyDescent="0.25">
      <c r="A1577" t="s">
        <v>1679</v>
      </c>
      <c r="B1577" t="str">
        <f>"24029000      "</f>
        <v xml:space="preserve">24029000      </v>
      </c>
      <c r="C1577" t="s">
        <v>4175</v>
      </c>
      <c r="D1577" t="s">
        <v>4175</v>
      </c>
      <c r="E1577" t="s">
        <v>5577</v>
      </c>
      <c r="F1577" t="s">
        <v>5578</v>
      </c>
    </row>
    <row r="1578" spans="1:6" x14ac:dyDescent="0.25">
      <c r="A1578" t="s">
        <v>1679</v>
      </c>
      <c r="B1578" t="str">
        <f>"24031100      "</f>
        <v xml:space="preserve">24031100      </v>
      </c>
      <c r="C1578" t="s">
        <v>5579</v>
      </c>
      <c r="D1578" t="s">
        <v>5579</v>
      </c>
      <c r="E1578" t="s">
        <v>5580</v>
      </c>
      <c r="F1578" t="s">
        <v>5581</v>
      </c>
    </row>
    <row r="1579" spans="1:6" x14ac:dyDescent="0.25">
      <c r="A1579" t="s">
        <v>1679</v>
      </c>
      <c r="B1579" t="str">
        <f>"24031910      "</f>
        <v xml:space="preserve">24031910      </v>
      </c>
      <c r="C1579" t="s">
        <v>5582</v>
      </c>
      <c r="D1579" t="s">
        <v>5582</v>
      </c>
      <c r="E1579" t="s">
        <v>5583</v>
      </c>
      <c r="F1579" t="s">
        <v>5584</v>
      </c>
    </row>
    <row r="1580" spans="1:6" x14ac:dyDescent="0.25">
      <c r="A1580" t="s">
        <v>1679</v>
      </c>
      <c r="B1580" t="str">
        <f>"24031990      "</f>
        <v xml:space="preserve">24031990      </v>
      </c>
      <c r="C1580" t="s">
        <v>4175</v>
      </c>
      <c r="D1580" t="s">
        <v>4175</v>
      </c>
      <c r="E1580" t="s">
        <v>5585</v>
      </c>
      <c r="F1580" t="s">
        <v>5586</v>
      </c>
    </row>
    <row r="1581" spans="1:6" x14ac:dyDescent="0.25">
      <c r="A1581" t="s">
        <v>1679</v>
      </c>
      <c r="B1581" t="str">
        <f>"24039100      "</f>
        <v xml:space="preserve">24039100      </v>
      </c>
      <c r="C1581" t="s">
        <v>5587</v>
      </c>
      <c r="D1581" t="s">
        <v>5587</v>
      </c>
      <c r="E1581" t="s">
        <v>5588</v>
      </c>
      <c r="F1581" t="s">
        <v>5589</v>
      </c>
    </row>
    <row r="1582" spans="1:6" x14ac:dyDescent="0.25">
      <c r="A1582" t="s">
        <v>1679</v>
      </c>
      <c r="B1582" t="str">
        <f>"24039910      "</f>
        <v xml:space="preserve">24039910      </v>
      </c>
      <c r="C1582" t="s">
        <v>5590</v>
      </c>
      <c r="D1582" t="s">
        <v>5590</v>
      </c>
      <c r="E1582" t="s">
        <v>5591</v>
      </c>
      <c r="F1582" t="s">
        <v>5592</v>
      </c>
    </row>
    <row r="1583" spans="1:6" x14ac:dyDescent="0.25">
      <c r="A1583" t="s">
        <v>1679</v>
      </c>
      <c r="B1583" t="str">
        <f>"24039990      "</f>
        <v xml:space="preserve">24039990      </v>
      </c>
      <c r="C1583" t="s">
        <v>4175</v>
      </c>
      <c r="D1583" t="s">
        <v>4175</v>
      </c>
      <c r="E1583" t="s">
        <v>5593</v>
      </c>
      <c r="F1583" t="s">
        <v>5594</v>
      </c>
    </row>
    <row r="1584" spans="1:6" x14ac:dyDescent="0.25">
      <c r="A1584" t="s">
        <v>1679</v>
      </c>
      <c r="B1584" t="str">
        <f>"25181000      "</f>
        <v xml:space="preserve">25181000      </v>
      </c>
      <c r="C1584" t="s">
        <v>5595</v>
      </c>
      <c r="D1584" t="s">
        <v>5595</v>
      </c>
      <c r="E1584" t="s">
        <v>5596</v>
      </c>
      <c r="F1584" t="s">
        <v>5597</v>
      </c>
    </row>
    <row r="1585" spans="1:6" x14ac:dyDescent="0.25">
      <c r="A1585" t="s">
        <v>1679</v>
      </c>
      <c r="B1585" t="str">
        <f>"25182000      "</f>
        <v xml:space="preserve">25182000      </v>
      </c>
      <c r="C1585" t="s">
        <v>5598</v>
      </c>
      <c r="D1585" t="s">
        <v>5598</v>
      </c>
      <c r="E1585" t="s">
        <v>5599</v>
      </c>
      <c r="F1585" t="s">
        <v>5600</v>
      </c>
    </row>
    <row r="1586" spans="1:6" x14ac:dyDescent="0.25">
      <c r="A1586" t="s">
        <v>1679</v>
      </c>
      <c r="B1586" t="str">
        <f>"29037100      "</f>
        <v xml:space="preserve">29037100      </v>
      </c>
      <c r="C1586" t="s">
        <v>5601</v>
      </c>
      <c r="D1586" t="s">
        <v>5602</v>
      </c>
      <c r="E1586" t="s">
        <v>5603</v>
      </c>
      <c r="F1586" t="s">
        <v>5604</v>
      </c>
    </row>
    <row r="1587" spans="1:6" x14ac:dyDescent="0.25">
      <c r="A1587" t="s">
        <v>1679</v>
      </c>
      <c r="B1587" t="str">
        <f>"29037200      "</f>
        <v xml:space="preserve">29037200      </v>
      </c>
      <c r="C1587" t="s">
        <v>5605</v>
      </c>
      <c r="D1587" t="s">
        <v>5606</v>
      </c>
      <c r="E1587" t="s">
        <v>5607</v>
      </c>
      <c r="F1587" t="s">
        <v>5608</v>
      </c>
    </row>
    <row r="1588" spans="1:6" x14ac:dyDescent="0.25">
      <c r="A1588" t="s">
        <v>1679</v>
      </c>
      <c r="B1588" t="str">
        <f>"29037300      "</f>
        <v xml:space="preserve">29037300      </v>
      </c>
      <c r="C1588" t="s">
        <v>5609</v>
      </c>
      <c r="D1588" t="s">
        <v>5610</v>
      </c>
      <c r="E1588" t="s">
        <v>5611</v>
      </c>
      <c r="F1588" t="s">
        <v>5612</v>
      </c>
    </row>
    <row r="1589" spans="1:6" x14ac:dyDescent="0.25">
      <c r="A1589" t="s">
        <v>1679</v>
      </c>
      <c r="B1589" t="str">
        <f>"29037400      "</f>
        <v xml:space="preserve">29037400      </v>
      </c>
      <c r="C1589" t="s">
        <v>5613</v>
      </c>
      <c r="D1589" t="s">
        <v>5614</v>
      </c>
      <c r="E1589" t="s">
        <v>5615</v>
      </c>
      <c r="F1589" t="s">
        <v>5616</v>
      </c>
    </row>
    <row r="1590" spans="1:6" x14ac:dyDescent="0.25">
      <c r="A1590" t="s">
        <v>1679</v>
      </c>
      <c r="B1590" t="str">
        <f>"29037500      "</f>
        <v xml:space="preserve">29037500      </v>
      </c>
      <c r="C1590" t="s">
        <v>3125</v>
      </c>
      <c r="D1590" t="s">
        <v>3126</v>
      </c>
      <c r="E1590" t="s">
        <v>5617</v>
      </c>
      <c r="F1590" t="s">
        <v>5618</v>
      </c>
    </row>
    <row r="1591" spans="1:6" x14ac:dyDescent="0.25">
      <c r="A1591" t="s">
        <v>1679</v>
      </c>
      <c r="B1591" t="str">
        <f>"29037610      "</f>
        <v xml:space="preserve">29037610      </v>
      </c>
      <c r="C1591" t="s">
        <v>5619</v>
      </c>
      <c r="D1591" t="s">
        <v>5620</v>
      </c>
      <c r="E1591" t="s">
        <v>5621</v>
      </c>
      <c r="F1591" t="s">
        <v>5622</v>
      </c>
    </row>
    <row r="1592" spans="1:6" x14ac:dyDescent="0.25">
      <c r="A1592" t="s">
        <v>1679</v>
      </c>
      <c r="B1592" t="str">
        <f>"29037620      "</f>
        <v xml:space="preserve">29037620      </v>
      </c>
      <c r="C1592" t="s">
        <v>5623</v>
      </c>
      <c r="D1592" t="s">
        <v>5624</v>
      </c>
      <c r="E1592" t="s">
        <v>5625</v>
      </c>
      <c r="F1592" t="s">
        <v>5626</v>
      </c>
    </row>
    <row r="1593" spans="1:6" x14ac:dyDescent="0.25">
      <c r="A1593" t="s">
        <v>1679</v>
      </c>
      <c r="B1593" t="str">
        <f>"29037690      "</f>
        <v xml:space="preserve">29037690      </v>
      </c>
      <c r="C1593" t="s">
        <v>5627</v>
      </c>
      <c r="D1593" t="s">
        <v>5628</v>
      </c>
      <c r="E1593" t="s">
        <v>5629</v>
      </c>
      <c r="F1593" t="s">
        <v>5630</v>
      </c>
    </row>
    <row r="1594" spans="1:6" x14ac:dyDescent="0.25">
      <c r="A1594" t="s">
        <v>1679</v>
      </c>
      <c r="B1594" t="str">
        <f>"29091100      "</f>
        <v xml:space="preserve">29091100      </v>
      </c>
      <c r="C1594" t="s">
        <v>5631</v>
      </c>
      <c r="D1594" t="s">
        <v>5631</v>
      </c>
      <c r="E1594" t="s">
        <v>5632</v>
      </c>
      <c r="F1594" t="s">
        <v>5633</v>
      </c>
    </row>
    <row r="1595" spans="1:6" x14ac:dyDescent="0.25">
      <c r="A1595" t="s">
        <v>1679</v>
      </c>
      <c r="B1595" t="str">
        <f>"29091910      "</f>
        <v xml:space="preserve">29091910      </v>
      </c>
      <c r="C1595" t="s">
        <v>5634</v>
      </c>
      <c r="D1595" t="s">
        <v>5634</v>
      </c>
      <c r="E1595" t="s">
        <v>5635</v>
      </c>
      <c r="F1595" t="s">
        <v>5636</v>
      </c>
    </row>
    <row r="1596" spans="1:6" x14ac:dyDescent="0.25">
      <c r="A1596" t="s">
        <v>1679</v>
      </c>
      <c r="B1596" t="str">
        <f>"29091990      "</f>
        <v xml:space="preserve">29091990      </v>
      </c>
      <c r="C1596" t="s">
        <v>4175</v>
      </c>
      <c r="D1596" t="s">
        <v>4175</v>
      </c>
      <c r="E1596" t="s">
        <v>5637</v>
      </c>
      <c r="F1596" t="s">
        <v>5638</v>
      </c>
    </row>
    <row r="1597" spans="1:6" x14ac:dyDescent="0.25">
      <c r="A1597" t="s">
        <v>1679</v>
      </c>
      <c r="B1597" t="str">
        <f>"29092000      "</f>
        <v xml:space="preserve">29092000      </v>
      </c>
      <c r="C1597" t="s">
        <v>5639</v>
      </c>
      <c r="D1597" t="s">
        <v>5639</v>
      </c>
      <c r="E1597" t="s">
        <v>5640</v>
      </c>
      <c r="F1597" t="s">
        <v>5641</v>
      </c>
    </row>
    <row r="1598" spans="1:6" x14ac:dyDescent="0.25">
      <c r="A1598" t="s">
        <v>1679</v>
      </c>
      <c r="B1598" t="str">
        <f>"29093010      "</f>
        <v xml:space="preserve">29093010      </v>
      </c>
      <c r="C1598" t="s">
        <v>5642</v>
      </c>
      <c r="D1598" t="s">
        <v>5642</v>
      </c>
      <c r="E1598" t="s">
        <v>5643</v>
      </c>
      <c r="F1598" t="s">
        <v>5644</v>
      </c>
    </row>
    <row r="1599" spans="1:6" x14ac:dyDescent="0.25">
      <c r="A1599" t="s">
        <v>1679</v>
      </c>
      <c r="B1599" t="str">
        <f>"29093031      "</f>
        <v xml:space="preserve">29093031      </v>
      </c>
      <c r="C1599" t="s">
        <v>5645</v>
      </c>
      <c r="D1599" t="s">
        <v>5645</v>
      </c>
      <c r="E1599" t="s">
        <v>5646</v>
      </c>
      <c r="F1599" t="s">
        <v>5647</v>
      </c>
    </row>
    <row r="1600" spans="1:6" x14ac:dyDescent="0.25">
      <c r="A1600" t="s">
        <v>1679</v>
      </c>
      <c r="B1600" t="str">
        <f>"29093035      "</f>
        <v xml:space="preserve">29093035      </v>
      </c>
      <c r="C1600" t="s">
        <v>5648</v>
      </c>
      <c r="D1600" t="s">
        <v>5648</v>
      </c>
      <c r="E1600" t="s">
        <v>5649</v>
      </c>
      <c r="F1600" t="s">
        <v>5650</v>
      </c>
    </row>
    <row r="1601" spans="1:6" x14ac:dyDescent="0.25">
      <c r="A1601" t="s">
        <v>1679</v>
      </c>
      <c r="B1601" t="str">
        <f>"29093038      "</f>
        <v xml:space="preserve">29093038      </v>
      </c>
      <c r="C1601" t="s">
        <v>4175</v>
      </c>
      <c r="D1601" t="s">
        <v>4175</v>
      </c>
      <c r="E1601" t="s">
        <v>5651</v>
      </c>
      <c r="F1601" t="s">
        <v>5652</v>
      </c>
    </row>
    <row r="1602" spans="1:6" x14ac:dyDescent="0.25">
      <c r="A1602" t="s">
        <v>1679</v>
      </c>
      <c r="B1602" t="str">
        <f>"29093090      "</f>
        <v xml:space="preserve">29093090      </v>
      </c>
      <c r="C1602" t="s">
        <v>4175</v>
      </c>
      <c r="D1602" t="s">
        <v>4175</v>
      </c>
      <c r="E1602" t="s">
        <v>5653</v>
      </c>
      <c r="F1602" t="s">
        <v>5654</v>
      </c>
    </row>
    <row r="1603" spans="1:6" x14ac:dyDescent="0.25">
      <c r="A1603" t="s">
        <v>1679</v>
      </c>
      <c r="B1603" t="str">
        <f>"29094100      "</f>
        <v xml:space="preserve">29094100      </v>
      </c>
      <c r="C1603" t="s">
        <v>5655</v>
      </c>
      <c r="D1603" t="s">
        <v>5655</v>
      </c>
      <c r="E1603" t="s">
        <v>5656</v>
      </c>
      <c r="F1603" t="s">
        <v>5657</v>
      </c>
    </row>
    <row r="1604" spans="1:6" x14ac:dyDescent="0.25">
      <c r="A1604" t="s">
        <v>1679</v>
      </c>
      <c r="B1604" t="str">
        <f>"29094300      "</f>
        <v xml:space="preserve">29094300      </v>
      </c>
      <c r="C1604" t="s">
        <v>5658</v>
      </c>
      <c r="D1604" t="s">
        <v>5658</v>
      </c>
      <c r="E1604" t="s">
        <v>5659</v>
      </c>
      <c r="F1604" t="s">
        <v>5660</v>
      </c>
    </row>
    <row r="1605" spans="1:6" x14ac:dyDescent="0.25">
      <c r="A1605" t="s">
        <v>1679</v>
      </c>
      <c r="B1605" t="str">
        <f>"29094400      "</f>
        <v xml:space="preserve">29094400      </v>
      </c>
      <c r="C1605" t="s">
        <v>5661</v>
      </c>
      <c r="D1605" t="s">
        <v>5661</v>
      </c>
      <c r="E1605" t="s">
        <v>5662</v>
      </c>
      <c r="F1605" t="s">
        <v>5663</v>
      </c>
    </row>
    <row r="1606" spans="1:6" x14ac:dyDescent="0.25">
      <c r="A1606" t="s">
        <v>1679</v>
      </c>
      <c r="B1606" t="str">
        <f>"29094911      "</f>
        <v xml:space="preserve">29094911      </v>
      </c>
      <c r="C1606" t="s">
        <v>5664</v>
      </c>
      <c r="D1606" t="s">
        <v>5664</v>
      </c>
      <c r="E1606" t="s">
        <v>5665</v>
      </c>
      <c r="F1606" t="s">
        <v>5666</v>
      </c>
    </row>
    <row r="1607" spans="1:6" x14ac:dyDescent="0.25">
      <c r="A1607" t="s">
        <v>1679</v>
      </c>
      <c r="B1607" t="str">
        <f>"29094980      "</f>
        <v xml:space="preserve">29094980      </v>
      </c>
      <c r="C1607" t="s">
        <v>4175</v>
      </c>
      <c r="D1607" t="s">
        <v>4175</v>
      </c>
      <c r="E1607" t="s">
        <v>5667</v>
      </c>
      <c r="F1607" t="s">
        <v>5668</v>
      </c>
    </row>
    <row r="1608" spans="1:6" x14ac:dyDescent="0.25">
      <c r="A1608" t="s">
        <v>1679</v>
      </c>
      <c r="B1608" t="str">
        <f>"29095000      "</f>
        <v xml:space="preserve">29095000      </v>
      </c>
      <c r="C1608" t="s">
        <v>5669</v>
      </c>
      <c r="D1608" t="s">
        <v>5669</v>
      </c>
      <c r="E1608" t="s">
        <v>5670</v>
      </c>
      <c r="F1608" t="s">
        <v>5671</v>
      </c>
    </row>
    <row r="1609" spans="1:6" x14ac:dyDescent="0.25">
      <c r="A1609" t="s">
        <v>1679</v>
      </c>
      <c r="B1609" t="str">
        <f>"29333300      "</f>
        <v xml:space="preserve">29333300      </v>
      </c>
      <c r="C1609" t="s">
        <v>5672</v>
      </c>
      <c r="D1609" t="s">
        <v>5673</v>
      </c>
      <c r="E1609" t="s">
        <v>5674</v>
      </c>
      <c r="F1609" t="s">
        <v>5675</v>
      </c>
    </row>
    <row r="1610" spans="1:6" x14ac:dyDescent="0.25">
      <c r="A1610" t="s">
        <v>1679</v>
      </c>
      <c r="B1610" t="str">
        <f>"29362400      "</f>
        <v xml:space="preserve">29362400      </v>
      </c>
      <c r="C1610" t="s">
        <v>5676</v>
      </c>
      <c r="D1610" t="s">
        <v>5677</v>
      </c>
      <c r="E1610" t="s">
        <v>5678</v>
      </c>
      <c r="F1610" t="s">
        <v>5679</v>
      </c>
    </row>
    <row r="1611" spans="1:6" x14ac:dyDescent="0.25">
      <c r="A1611" t="s">
        <v>1679</v>
      </c>
      <c r="B1611" t="str">
        <f>"29394100      "</f>
        <v xml:space="preserve">29394100      </v>
      </c>
      <c r="C1611" t="s">
        <v>5680</v>
      </c>
      <c r="D1611" t="s">
        <v>5680</v>
      </c>
      <c r="E1611" t="s">
        <v>5681</v>
      </c>
      <c r="F1611" t="s">
        <v>5682</v>
      </c>
    </row>
    <row r="1612" spans="1:6" x14ac:dyDescent="0.25">
      <c r="A1612" t="s">
        <v>1679</v>
      </c>
      <c r="B1612" t="str">
        <f>"29394200      "</f>
        <v xml:space="preserve">29394200      </v>
      </c>
      <c r="C1612" t="s">
        <v>5683</v>
      </c>
      <c r="D1612" t="s">
        <v>5683</v>
      </c>
      <c r="E1612" t="s">
        <v>5684</v>
      </c>
      <c r="F1612" t="s">
        <v>5685</v>
      </c>
    </row>
    <row r="1613" spans="1:6" x14ac:dyDescent="0.25">
      <c r="A1613" t="s">
        <v>1679</v>
      </c>
      <c r="B1613" t="str">
        <f>"29394300      "</f>
        <v xml:space="preserve">29394300      </v>
      </c>
      <c r="C1613" t="s">
        <v>5686</v>
      </c>
      <c r="D1613" t="s">
        <v>5686</v>
      </c>
      <c r="E1613" t="s">
        <v>5687</v>
      </c>
      <c r="F1613" t="s">
        <v>5688</v>
      </c>
    </row>
    <row r="1614" spans="1:6" x14ac:dyDescent="0.25">
      <c r="A1614" t="s">
        <v>1679</v>
      </c>
      <c r="B1614" t="str">
        <f>"29394400      "</f>
        <v xml:space="preserve">29394400      </v>
      </c>
      <c r="C1614" t="s">
        <v>5689</v>
      </c>
      <c r="D1614" t="s">
        <v>5689</v>
      </c>
      <c r="E1614" t="s">
        <v>5690</v>
      </c>
      <c r="F1614" t="s">
        <v>5691</v>
      </c>
    </row>
    <row r="1615" spans="1:6" x14ac:dyDescent="0.25">
      <c r="A1615" t="s">
        <v>1679</v>
      </c>
      <c r="B1615" t="str">
        <f>"29394900      "</f>
        <v xml:space="preserve">29394900      </v>
      </c>
      <c r="C1615" t="s">
        <v>4175</v>
      </c>
      <c r="D1615" t="s">
        <v>4175</v>
      </c>
      <c r="E1615" t="s">
        <v>5692</v>
      </c>
      <c r="F1615" t="s">
        <v>5693</v>
      </c>
    </row>
    <row r="1616" spans="1:6" x14ac:dyDescent="0.25">
      <c r="A1616" t="s">
        <v>1679</v>
      </c>
      <c r="B1616" t="str">
        <f>"30021200      "</f>
        <v xml:space="preserve">30021200      </v>
      </c>
      <c r="C1616" t="s">
        <v>5694</v>
      </c>
      <c r="D1616" t="s">
        <v>5694</v>
      </c>
      <c r="E1616" t="s">
        <v>5695</v>
      </c>
      <c r="F1616" t="s">
        <v>5696</v>
      </c>
    </row>
    <row r="1617" spans="1:6" x14ac:dyDescent="0.25">
      <c r="A1617" t="s">
        <v>1679</v>
      </c>
      <c r="B1617" t="str">
        <f>"30021300      "</f>
        <v xml:space="preserve">30021300      </v>
      </c>
      <c r="C1617" t="s">
        <v>5697</v>
      </c>
      <c r="D1617" t="s">
        <v>5697</v>
      </c>
      <c r="E1617" t="s">
        <v>5698</v>
      </c>
      <c r="F1617" t="s">
        <v>5699</v>
      </c>
    </row>
    <row r="1618" spans="1:6" x14ac:dyDescent="0.25">
      <c r="A1618" t="s">
        <v>1679</v>
      </c>
      <c r="B1618" t="str">
        <f>"30021400      "</f>
        <v xml:space="preserve">30021400      </v>
      </c>
      <c r="C1618" t="s">
        <v>5700</v>
      </c>
      <c r="D1618" t="s">
        <v>5700</v>
      </c>
      <c r="E1618" t="s">
        <v>5701</v>
      </c>
      <c r="F1618" t="s">
        <v>5702</v>
      </c>
    </row>
    <row r="1619" spans="1:6" x14ac:dyDescent="0.25">
      <c r="A1619" t="s">
        <v>1679</v>
      </c>
      <c r="B1619" t="str">
        <f>"30021500      "</f>
        <v xml:space="preserve">30021500      </v>
      </c>
      <c r="C1619" t="s">
        <v>5703</v>
      </c>
      <c r="D1619" t="s">
        <v>5703</v>
      </c>
      <c r="E1619" t="s">
        <v>5704</v>
      </c>
      <c r="F1619" t="s">
        <v>5705</v>
      </c>
    </row>
    <row r="1620" spans="1:6" x14ac:dyDescent="0.25">
      <c r="A1620" t="s">
        <v>1679</v>
      </c>
      <c r="B1620" t="str">
        <f>"30029010      "</f>
        <v xml:space="preserve">30029010      </v>
      </c>
      <c r="C1620" t="s">
        <v>5706</v>
      </c>
      <c r="D1620" t="s">
        <v>5706</v>
      </c>
      <c r="E1620" t="s">
        <v>5707</v>
      </c>
      <c r="F1620" t="s">
        <v>5708</v>
      </c>
    </row>
    <row r="1621" spans="1:6" x14ac:dyDescent="0.25">
      <c r="A1621" t="s">
        <v>1679</v>
      </c>
      <c r="B1621" t="str">
        <f>"30029030      "</f>
        <v xml:space="preserve">30029030      </v>
      </c>
      <c r="C1621" t="s">
        <v>5709</v>
      </c>
      <c r="D1621" t="s">
        <v>5709</v>
      </c>
      <c r="E1621" t="s">
        <v>5710</v>
      </c>
      <c r="F1621" t="s">
        <v>5711</v>
      </c>
    </row>
    <row r="1622" spans="1:6" x14ac:dyDescent="0.25">
      <c r="A1622" t="s">
        <v>1679</v>
      </c>
      <c r="B1622" t="str">
        <f>"30029090      "</f>
        <v xml:space="preserve">30029090      </v>
      </c>
      <c r="C1622" t="s">
        <v>4175</v>
      </c>
      <c r="D1622" t="s">
        <v>4175</v>
      </c>
      <c r="E1622" t="s">
        <v>5712</v>
      </c>
      <c r="F1622" t="s">
        <v>5713</v>
      </c>
    </row>
    <row r="1623" spans="1:6" x14ac:dyDescent="0.25">
      <c r="A1623" t="s">
        <v>1679</v>
      </c>
      <c r="B1623" t="str">
        <f>"44032110      "</f>
        <v xml:space="preserve">44032110      </v>
      </c>
      <c r="C1623" t="s">
        <v>5714</v>
      </c>
      <c r="D1623" t="s">
        <v>5714</v>
      </c>
      <c r="E1623" t="s">
        <v>5715</v>
      </c>
      <c r="F1623" t="s">
        <v>5716</v>
      </c>
    </row>
    <row r="1624" spans="1:6" x14ac:dyDescent="0.25">
      <c r="A1624" t="s">
        <v>1679</v>
      </c>
      <c r="B1624" t="str">
        <f>"44032190      "</f>
        <v xml:space="preserve">44032190      </v>
      </c>
      <c r="C1624" t="s">
        <v>4175</v>
      </c>
      <c r="D1624" t="s">
        <v>4175</v>
      </c>
      <c r="E1624" t="s">
        <v>5717</v>
      </c>
      <c r="F1624" t="s">
        <v>5718</v>
      </c>
    </row>
    <row r="1625" spans="1:6" x14ac:dyDescent="0.25">
      <c r="A1625" t="s">
        <v>1679</v>
      </c>
      <c r="B1625" t="str">
        <f>"44032310      "</f>
        <v xml:space="preserve">44032310      </v>
      </c>
      <c r="C1625" t="s">
        <v>5714</v>
      </c>
      <c r="D1625" t="s">
        <v>5714</v>
      </c>
      <c r="E1625" t="s">
        <v>5719</v>
      </c>
      <c r="F1625" t="s">
        <v>5720</v>
      </c>
    </row>
    <row r="1626" spans="1:6" x14ac:dyDescent="0.25">
      <c r="A1626" t="s">
        <v>1679</v>
      </c>
      <c r="B1626" t="str">
        <f>"44032390      "</f>
        <v xml:space="preserve">44032390      </v>
      </c>
      <c r="C1626" t="s">
        <v>4175</v>
      </c>
      <c r="D1626" t="s">
        <v>4175</v>
      </c>
      <c r="E1626" t="s">
        <v>5721</v>
      </c>
      <c r="F1626" t="s">
        <v>5722</v>
      </c>
    </row>
    <row r="1627" spans="1:6" x14ac:dyDescent="0.25">
      <c r="A1627" t="s">
        <v>1679</v>
      </c>
      <c r="B1627" t="str">
        <f>"44032510      "</f>
        <v xml:space="preserve">44032510      </v>
      </c>
      <c r="C1627" t="s">
        <v>5714</v>
      </c>
      <c r="D1627" t="s">
        <v>5714</v>
      </c>
      <c r="E1627" t="s">
        <v>5723</v>
      </c>
      <c r="F1627" t="s">
        <v>5724</v>
      </c>
    </row>
    <row r="1628" spans="1:6" x14ac:dyDescent="0.25">
      <c r="A1628" t="s">
        <v>1679</v>
      </c>
      <c r="B1628" t="str">
        <f>"44032590      "</f>
        <v xml:space="preserve">44032590      </v>
      </c>
      <c r="C1628" t="s">
        <v>4175</v>
      </c>
      <c r="D1628" t="s">
        <v>4175</v>
      </c>
      <c r="E1628" t="s">
        <v>5725</v>
      </c>
      <c r="F1628" t="s">
        <v>5726</v>
      </c>
    </row>
    <row r="1629" spans="1:6" x14ac:dyDescent="0.25">
      <c r="A1629" t="s">
        <v>1679</v>
      </c>
      <c r="B1629" t="str">
        <f>"44039300      "</f>
        <v xml:space="preserve">44039300      </v>
      </c>
      <c r="C1629" t="s">
        <v>5727</v>
      </c>
      <c r="D1629" t="s">
        <v>5728</v>
      </c>
      <c r="E1629" t="s">
        <v>5729</v>
      </c>
      <c r="F1629" t="s">
        <v>5730</v>
      </c>
    </row>
    <row r="1630" spans="1:6" x14ac:dyDescent="0.25">
      <c r="A1630" t="s">
        <v>1679</v>
      </c>
      <c r="B1630" t="str">
        <f>"44039510      "</f>
        <v xml:space="preserve">44039510      </v>
      </c>
      <c r="C1630" t="s">
        <v>5714</v>
      </c>
      <c r="D1630" t="s">
        <v>5714</v>
      </c>
      <c r="E1630" t="s">
        <v>5731</v>
      </c>
      <c r="F1630" t="s">
        <v>5732</v>
      </c>
    </row>
    <row r="1631" spans="1:6" x14ac:dyDescent="0.25">
      <c r="A1631" t="s">
        <v>1679</v>
      </c>
      <c r="B1631" t="str">
        <f>"44039590      "</f>
        <v xml:space="preserve">44039590      </v>
      </c>
      <c r="C1631" t="s">
        <v>4175</v>
      </c>
      <c r="D1631" t="s">
        <v>4175</v>
      </c>
      <c r="E1631" t="s">
        <v>5733</v>
      </c>
      <c r="F1631" t="s">
        <v>5734</v>
      </c>
    </row>
    <row r="1632" spans="1:6" x14ac:dyDescent="0.25">
      <c r="A1632" t="s">
        <v>1679</v>
      </c>
      <c r="B1632" t="str">
        <f>"44072915      "</f>
        <v xml:space="preserve">44072915      </v>
      </c>
      <c r="C1632" t="s">
        <v>5735</v>
      </c>
      <c r="D1632" t="s">
        <v>5735</v>
      </c>
      <c r="E1632" t="s">
        <v>5736</v>
      </c>
      <c r="F1632" t="s">
        <v>5737</v>
      </c>
    </row>
    <row r="1633" spans="1:6" x14ac:dyDescent="0.25">
      <c r="A1633" t="s">
        <v>1679</v>
      </c>
      <c r="B1633" t="str">
        <f>"44072920      "</f>
        <v xml:space="preserve">44072920      </v>
      </c>
      <c r="C1633" t="s">
        <v>5738</v>
      </c>
      <c r="D1633" t="s">
        <v>5738</v>
      </c>
      <c r="E1633" t="s">
        <v>5739</v>
      </c>
      <c r="F1633" t="s">
        <v>5740</v>
      </c>
    </row>
    <row r="1634" spans="1:6" x14ac:dyDescent="0.25">
      <c r="A1634" t="s">
        <v>1679</v>
      </c>
      <c r="B1634" t="str">
        <f>"44072983      "</f>
        <v xml:space="preserve">44072983      </v>
      </c>
      <c r="C1634" t="s">
        <v>5741</v>
      </c>
      <c r="D1634" t="s">
        <v>5741</v>
      </c>
      <c r="E1634" t="s">
        <v>5742</v>
      </c>
      <c r="F1634" t="s">
        <v>5743</v>
      </c>
    </row>
    <row r="1635" spans="1:6" x14ac:dyDescent="0.25">
      <c r="A1635" t="s">
        <v>1679</v>
      </c>
      <c r="B1635" t="str">
        <f>"44072985      "</f>
        <v xml:space="preserve">44072985      </v>
      </c>
      <c r="C1635" t="s">
        <v>5744</v>
      </c>
      <c r="D1635" t="s">
        <v>5744</v>
      </c>
      <c r="E1635" t="s">
        <v>5745</v>
      </c>
      <c r="F1635" t="s">
        <v>5746</v>
      </c>
    </row>
    <row r="1636" spans="1:6" x14ac:dyDescent="0.25">
      <c r="A1636" t="s">
        <v>1679</v>
      </c>
      <c r="B1636" t="str">
        <f>"44072995      "</f>
        <v xml:space="preserve">44072995      </v>
      </c>
      <c r="C1636" t="s">
        <v>4175</v>
      </c>
      <c r="D1636" t="s">
        <v>4175</v>
      </c>
      <c r="E1636" t="s">
        <v>5747</v>
      </c>
      <c r="F1636" t="s">
        <v>5748</v>
      </c>
    </row>
    <row r="1637" spans="1:6" x14ac:dyDescent="0.25">
      <c r="A1637" t="s">
        <v>1679</v>
      </c>
      <c r="B1637" t="str">
        <f>"44101110      "</f>
        <v xml:space="preserve">44101110      </v>
      </c>
      <c r="C1637" t="s">
        <v>5749</v>
      </c>
      <c r="D1637" t="s">
        <v>5750</v>
      </c>
      <c r="E1637" t="s">
        <v>5751</v>
      </c>
      <c r="F1637" t="s">
        <v>5752</v>
      </c>
    </row>
    <row r="1638" spans="1:6" x14ac:dyDescent="0.25">
      <c r="A1638" t="s">
        <v>1679</v>
      </c>
      <c r="B1638" t="str">
        <f>"44101210      "</f>
        <v xml:space="preserve">44101210      </v>
      </c>
      <c r="C1638" t="s">
        <v>5749</v>
      </c>
      <c r="D1638" t="s">
        <v>5750</v>
      </c>
      <c r="E1638" t="s">
        <v>5753</v>
      </c>
      <c r="F1638" t="s">
        <v>5754</v>
      </c>
    </row>
    <row r="1639" spans="1:6" x14ac:dyDescent="0.25">
      <c r="A1639" t="s">
        <v>1679</v>
      </c>
      <c r="B1639" t="str">
        <f>"44111210      "</f>
        <v xml:space="preserve">44111210      </v>
      </c>
      <c r="C1639" t="s">
        <v>5755</v>
      </c>
      <c r="D1639" t="s">
        <v>5756</v>
      </c>
      <c r="E1639" t="s">
        <v>5757</v>
      </c>
      <c r="F1639" t="s">
        <v>5758</v>
      </c>
    </row>
    <row r="1640" spans="1:6" x14ac:dyDescent="0.25">
      <c r="A1640" t="s">
        <v>1679</v>
      </c>
      <c r="B1640" t="str">
        <f>"44111310      "</f>
        <v xml:space="preserve">44111310      </v>
      </c>
      <c r="C1640" t="s">
        <v>5755</v>
      </c>
      <c r="D1640" t="s">
        <v>5756</v>
      </c>
      <c r="E1640" t="s">
        <v>5759</v>
      </c>
      <c r="F1640" t="s">
        <v>5760</v>
      </c>
    </row>
    <row r="1641" spans="1:6" x14ac:dyDescent="0.25">
      <c r="A1641" t="s">
        <v>1679</v>
      </c>
      <c r="B1641" t="str">
        <f>"44111410      "</f>
        <v xml:space="preserve">44111410      </v>
      </c>
      <c r="C1641" t="s">
        <v>5755</v>
      </c>
      <c r="D1641" t="s">
        <v>5756</v>
      </c>
      <c r="E1641" t="s">
        <v>5761</v>
      </c>
      <c r="F1641" t="s">
        <v>5762</v>
      </c>
    </row>
    <row r="1642" spans="1:6" x14ac:dyDescent="0.25">
      <c r="A1642" t="s">
        <v>1679</v>
      </c>
      <c r="B1642" t="str">
        <f>"44119210      "</f>
        <v xml:space="preserve">44119210      </v>
      </c>
      <c r="C1642" t="s">
        <v>5755</v>
      </c>
      <c r="D1642" t="s">
        <v>5756</v>
      </c>
      <c r="E1642" t="s">
        <v>5763</v>
      </c>
      <c r="F1642" t="s">
        <v>5764</v>
      </c>
    </row>
    <row r="1643" spans="1:6" x14ac:dyDescent="0.25">
      <c r="A1643" t="s">
        <v>1679</v>
      </c>
      <c r="B1643" t="str">
        <f>"44119410      "</f>
        <v xml:space="preserve">44119410      </v>
      </c>
      <c r="C1643" t="s">
        <v>5755</v>
      </c>
      <c r="D1643" t="s">
        <v>5756</v>
      </c>
      <c r="E1643" t="s">
        <v>5765</v>
      </c>
      <c r="F1643" t="s">
        <v>5766</v>
      </c>
    </row>
    <row r="1644" spans="1:6" x14ac:dyDescent="0.25">
      <c r="A1644" t="s">
        <v>1679</v>
      </c>
      <c r="B1644" t="str">
        <f>"44219999      "</f>
        <v xml:space="preserve">44219999      </v>
      </c>
      <c r="C1644" t="s">
        <v>4175</v>
      </c>
      <c r="D1644" t="s">
        <v>4175</v>
      </c>
      <c r="E1644" t="s">
        <v>5767</v>
      </c>
      <c r="F1644" t="s">
        <v>5768</v>
      </c>
    </row>
    <row r="1645" spans="1:6" x14ac:dyDescent="0.25">
      <c r="A1645" t="s">
        <v>1679</v>
      </c>
      <c r="B1645" t="str">
        <f>"57031000      "</f>
        <v xml:space="preserve">57031000      </v>
      </c>
      <c r="C1645" t="s">
        <v>5769</v>
      </c>
      <c r="D1645" t="s">
        <v>5769</v>
      </c>
      <c r="E1645" t="s">
        <v>5770</v>
      </c>
      <c r="F1645" t="s">
        <v>5771</v>
      </c>
    </row>
    <row r="1646" spans="1:6" x14ac:dyDescent="0.25">
      <c r="A1646" t="s">
        <v>1679</v>
      </c>
      <c r="B1646" t="str">
        <f>"57039020      "</f>
        <v xml:space="preserve">57039020      </v>
      </c>
      <c r="C1646" t="s">
        <v>5772</v>
      </c>
      <c r="D1646" t="s">
        <v>5772</v>
      </c>
      <c r="E1646" t="s">
        <v>5773</v>
      </c>
      <c r="F1646" t="s">
        <v>5774</v>
      </c>
    </row>
    <row r="1647" spans="1:6" x14ac:dyDescent="0.25">
      <c r="A1647" t="s">
        <v>1679</v>
      </c>
      <c r="B1647" t="str">
        <f>"57039080      "</f>
        <v xml:space="preserve">57039080      </v>
      </c>
      <c r="C1647" t="s">
        <v>4175</v>
      </c>
      <c r="D1647" t="s">
        <v>4175</v>
      </c>
      <c r="E1647" t="s">
        <v>5775</v>
      </c>
      <c r="F1647" t="s">
        <v>5776</v>
      </c>
    </row>
    <row r="1648" spans="1:6" x14ac:dyDescent="0.25">
      <c r="A1648" t="s">
        <v>1679</v>
      </c>
      <c r="B1648" t="str">
        <f>"59069910      "</f>
        <v xml:space="preserve">59069910      </v>
      </c>
      <c r="C1648" t="s">
        <v>5777</v>
      </c>
      <c r="D1648" t="s">
        <v>5778</v>
      </c>
      <c r="E1648" t="s">
        <v>5779</v>
      </c>
      <c r="F1648" t="s">
        <v>5780</v>
      </c>
    </row>
    <row r="1649" spans="1:6" x14ac:dyDescent="0.25">
      <c r="A1649" t="s">
        <v>1679</v>
      </c>
      <c r="B1649" t="str">
        <f>"59111000      "</f>
        <v xml:space="preserve">59111000      </v>
      </c>
      <c r="C1649" t="s">
        <v>5781</v>
      </c>
      <c r="D1649" t="s">
        <v>5781</v>
      </c>
      <c r="E1649" t="s">
        <v>5782</v>
      </c>
      <c r="F1649" t="s">
        <v>5783</v>
      </c>
    </row>
    <row r="1650" spans="1:6" x14ac:dyDescent="0.25">
      <c r="A1650" t="s">
        <v>1679</v>
      </c>
      <c r="B1650" t="str">
        <f>"59112000      "</f>
        <v xml:space="preserve">59112000      </v>
      </c>
      <c r="C1650" t="s">
        <v>5784</v>
      </c>
      <c r="D1650" t="s">
        <v>5784</v>
      </c>
      <c r="E1650" t="s">
        <v>5785</v>
      </c>
      <c r="F1650" t="s">
        <v>5786</v>
      </c>
    </row>
    <row r="1651" spans="1:6" x14ac:dyDescent="0.25">
      <c r="A1651" t="s">
        <v>1679</v>
      </c>
      <c r="B1651" t="str">
        <f>"59113111      "</f>
        <v xml:space="preserve">59113111      </v>
      </c>
      <c r="C1651" t="s">
        <v>5787</v>
      </c>
      <c r="D1651" t="s">
        <v>5787</v>
      </c>
      <c r="E1651" t="s">
        <v>5788</v>
      </c>
      <c r="F1651" t="s">
        <v>5789</v>
      </c>
    </row>
    <row r="1652" spans="1:6" x14ac:dyDescent="0.25">
      <c r="A1652" t="s">
        <v>1679</v>
      </c>
      <c r="B1652" t="str">
        <f>"59113119      "</f>
        <v xml:space="preserve">59113119      </v>
      </c>
      <c r="C1652" t="s">
        <v>4175</v>
      </c>
      <c r="D1652" t="s">
        <v>4175</v>
      </c>
      <c r="E1652" t="s">
        <v>5790</v>
      </c>
      <c r="F1652" t="s">
        <v>5791</v>
      </c>
    </row>
    <row r="1653" spans="1:6" x14ac:dyDescent="0.25">
      <c r="A1653" t="s">
        <v>1679</v>
      </c>
      <c r="B1653" t="str">
        <f>"59113190      "</f>
        <v xml:space="preserve">59113190      </v>
      </c>
      <c r="C1653" t="s">
        <v>5792</v>
      </c>
      <c r="D1653" t="s">
        <v>5792</v>
      </c>
      <c r="E1653" t="s">
        <v>5793</v>
      </c>
      <c r="F1653" t="s">
        <v>5794</v>
      </c>
    </row>
    <row r="1654" spans="1:6" x14ac:dyDescent="0.25">
      <c r="A1654" t="s">
        <v>1679</v>
      </c>
      <c r="B1654" t="str">
        <f>"59113211      "</f>
        <v xml:space="preserve">59113211      </v>
      </c>
      <c r="C1654" t="s">
        <v>5795</v>
      </c>
      <c r="D1654" t="s">
        <v>5795</v>
      </c>
      <c r="E1654" t="s">
        <v>5796</v>
      </c>
      <c r="F1654" t="s">
        <v>5797</v>
      </c>
    </row>
    <row r="1655" spans="1:6" x14ac:dyDescent="0.25">
      <c r="A1655" t="s">
        <v>1679</v>
      </c>
      <c r="B1655" t="str">
        <f>"59113219      "</f>
        <v xml:space="preserve">59113219      </v>
      </c>
      <c r="C1655" t="s">
        <v>4175</v>
      </c>
      <c r="D1655" t="s">
        <v>4175</v>
      </c>
      <c r="E1655" t="s">
        <v>5798</v>
      </c>
      <c r="F1655" t="s">
        <v>5799</v>
      </c>
    </row>
    <row r="1656" spans="1:6" x14ac:dyDescent="0.25">
      <c r="A1656" t="s">
        <v>1679</v>
      </c>
      <c r="B1656" t="str">
        <f>"59113290      "</f>
        <v xml:space="preserve">59113290      </v>
      </c>
      <c r="C1656" t="s">
        <v>5792</v>
      </c>
      <c r="D1656" t="s">
        <v>5792</v>
      </c>
      <c r="E1656" t="s">
        <v>5800</v>
      </c>
      <c r="F1656" t="s">
        <v>5801</v>
      </c>
    </row>
    <row r="1657" spans="1:6" x14ac:dyDescent="0.25">
      <c r="A1657" t="s">
        <v>1679</v>
      </c>
      <c r="B1657" t="str">
        <f>"59114000      "</f>
        <v xml:space="preserve">59114000      </v>
      </c>
      <c r="C1657" t="s">
        <v>5802</v>
      </c>
      <c r="D1657" t="s">
        <v>5803</v>
      </c>
      <c r="E1657" t="s">
        <v>5804</v>
      </c>
      <c r="F1657" t="s">
        <v>5805</v>
      </c>
    </row>
    <row r="1658" spans="1:6" x14ac:dyDescent="0.25">
      <c r="A1658" t="s">
        <v>1679</v>
      </c>
      <c r="B1658" t="str">
        <f>"59119010      "</f>
        <v xml:space="preserve">59119010      </v>
      </c>
      <c r="C1658" t="s">
        <v>5806</v>
      </c>
      <c r="D1658" t="s">
        <v>5806</v>
      </c>
      <c r="E1658" t="s">
        <v>5807</v>
      </c>
      <c r="F1658" t="s">
        <v>5808</v>
      </c>
    </row>
    <row r="1659" spans="1:6" x14ac:dyDescent="0.25">
      <c r="A1659" t="s">
        <v>1679</v>
      </c>
      <c r="B1659" t="str">
        <f>"59119091      "</f>
        <v xml:space="preserve">59119091      </v>
      </c>
      <c r="C1659" t="s">
        <v>5809</v>
      </c>
      <c r="D1659" t="s">
        <v>5809</v>
      </c>
      <c r="E1659" t="s">
        <v>5810</v>
      </c>
      <c r="F1659" t="s">
        <v>5811</v>
      </c>
    </row>
    <row r="1660" spans="1:6" x14ac:dyDescent="0.25">
      <c r="A1660" t="s">
        <v>1679</v>
      </c>
      <c r="B1660" t="str">
        <f>"59119099      "</f>
        <v xml:space="preserve">59119099      </v>
      </c>
      <c r="C1660" t="s">
        <v>5256</v>
      </c>
      <c r="D1660" t="s">
        <v>5256</v>
      </c>
      <c r="E1660" t="s">
        <v>5812</v>
      </c>
      <c r="F1660" t="s">
        <v>5813</v>
      </c>
    </row>
    <row r="1661" spans="1:6" x14ac:dyDescent="0.25">
      <c r="A1661" t="s">
        <v>1679</v>
      </c>
      <c r="B1661" t="str">
        <f>"61161020      "</f>
        <v xml:space="preserve">61161020      </v>
      </c>
      <c r="C1661" t="s">
        <v>5814</v>
      </c>
      <c r="D1661" t="s">
        <v>5814</v>
      </c>
      <c r="E1661" t="s">
        <v>5815</v>
      </c>
      <c r="F1661" t="s">
        <v>5816</v>
      </c>
    </row>
    <row r="1662" spans="1:6" x14ac:dyDescent="0.25">
      <c r="A1662" t="s">
        <v>1679</v>
      </c>
      <c r="B1662" t="str">
        <f>"61161080      "</f>
        <v xml:space="preserve">61161080      </v>
      </c>
      <c r="C1662" t="s">
        <v>4175</v>
      </c>
      <c r="D1662" t="s">
        <v>4175</v>
      </c>
      <c r="E1662" t="s">
        <v>5817</v>
      </c>
      <c r="F1662" t="s">
        <v>5818</v>
      </c>
    </row>
    <row r="1663" spans="1:6" x14ac:dyDescent="0.25">
      <c r="A1663" t="s">
        <v>1679</v>
      </c>
      <c r="B1663" t="str">
        <f>"62102000      "</f>
        <v xml:space="preserve">62102000      </v>
      </c>
      <c r="C1663" t="s">
        <v>5819</v>
      </c>
      <c r="D1663" t="s">
        <v>5820</v>
      </c>
      <c r="E1663" t="s">
        <v>5821</v>
      </c>
      <c r="F1663" t="s">
        <v>5822</v>
      </c>
    </row>
    <row r="1664" spans="1:6" x14ac:dyDescent="0.25">
      <c r="A1664" t="s">
        <v>1679</v>
      </c>
      <c r="B1664" t="str">
        <f>"62103000      "</f>
        <v xml:space="preserve">62103000      </v>
      </c>
      <c r="C1664" t="s">
        <v>5823</v>
      </c>
      <c r="D1664" t="s">
        <v>5824</v>
      </c>
      <c r="E1664" t="s">
        <v>5825</v>
      </c>
      <c r="F1664" t="s">
        <v>5826</v>
      </c>
    </row>
    <row r="1665" spans="1:6" x14ac:dyDescent="0.25">
      <c r="A1665" t="s">
        <v>1679</v>
      </c>
      <c r="B1665" t="str">
        <f>"63061200      "</f>
        <v xml:space="preserve">63061200      </v>
      </c>
      <c r="C1665" t="s">
        <v>5827</v>
      </c>
      <c r="D1665" t="s">
        <v>5827</v>
      </c>
      <c r="E1665" t="s">
        <v>5828</v>
      </c>
      <c r="F1665" t="s">
        <v>5829</v>
      </c>
    </row>
    <row r="1666" spans="1:6" x14ac:dyDescent="0.25">
      <c r="A1666" t="s">
        <v>1679</v>
      </c>
      <c r="B1666" t="str">
        <f>"63061900      "</f>
        <v xml:space="preserve">63061900      </v>
      </c>
      <c r="C1666" t="s">
        <v>5792</v>
      </c>
      <c r="D1666" t="s">
        <v>5792</v>
      </c>
      <c r="E1666" t="s">
        <v>5830</v>
      </c>
      <c r="F1666" t="s">
        <v>5831</v>
      </c>
    </row>
    <row r="1667" spans="1:6" x14ac:dyDescent="0.25">
      <c r="A1667" t="s">
        <v>1679</v>
      </c>
      <c r="B1667" t="str">
        <f>"63062200      "</f>
        <v xml:space="preserve">63062200      </v>
      </c>
      <c r="C1667" t="s">
        <v>5827</v>
      </c>
      <c r="D1667" t="s">
        <v>5827</v>
      </c>
      <c r="E1667" t="s">
        <v>5832</v>
      </c>
      <c r="F1667" t="s">
        <v>5833</v>
      </c>
    </row>
    <row r="1668" spans="1:6" x14ac:dyDescent="0.25">
      <c r="A1668" t="s">
        <v>1679</v>
      </c>
      <c r="B1668" t="str">
        <f>"63062900      "</f>
        <v xml:space="preserve">63062900      </v>
      </c>
      <c r="C1668" t="s">
        <v>5792</v>
      </c>
      <c r="D1668" t="s">
        <v>5792</v>
      </c>
      <c r="E1668" t="s">
        <v>5834</v>
      </c>
      <c r="F1668" t="s">
        <v>5835</v>
      </c>
    </row>
    <row r="1669" spans="1:6" x14ac:dyDescent="0.25">
      <c r="A1669" t="s">
        <v>1679</v>
      </c>
      <c r="B1669" t="str">
        <f>"63063000      "</f>
        <v xml:space="preserve">63063000      </v>
      </c>
      <c r="C1669" t="s">
        <v>5836</v>
      </c>
      <c r="D1669" t="s">
        <v>5836</v>
      </c>
      <c r="E1669" t="s">
        <v>5837</v>
      </c>
      <c r="F1669" t="s">
        <v>5838</v>
      </c>
    </row>
    <row r="1670" spans="1:6" x14ac:dyDescent="0.25">
      <c r="A1670" t="s">
        <v>1679</v>
      </c>
      <c r="B1670" t="str">
        <f>"63064000      "</f>
        <v xml:space="preserve">63064000      </v>
      </c>
      <c r="C1670" t="s">
        <v>5839</v>
      </c>
      <c r="D1670" t="s">
        <v>5839</v>
      </c>
      <c r="E1670" t="s">
        <v>5840</v>
      </c>
      <c r="F1670" t="s">
        <v>5841</v>
      </c>
    </row>
    <row r="1671" spans="1:6" x14ac:dyDescent="0.25">
      <c r="A1671" t="s">
        <v>1679</v>
      </c>
      <c r="B1671" t="str">
        <f>"63069000      "</f>
        <v xml:space="preserve">63069000      </v>
      </c>
      <c r="C1671" t="s">
        <v>4175</v>
      </c>
      <c r="D1671" t="s">
        <v>4175</v>
      </c>
      <c r="E1671" t="s">
        <v>5842</v>
      </c>
      <c r="F1671" t="s">
        <v>5843</v>
      </c>
    </row>
    <row r="1672" spans="1:6" x14ac:dyDescent="0.25">
      <c r="A1672" t="s">
        <v>1679</v>
      </c>
      <c r="B1672" t="str">
        <f>"63079093      "</f>
        <v xml:space="preserve">63079093      </v>
      </c>
      <c r="C1672" t="s">
        <v>5844</v>
      </c>
      <c r="D1672" t="s">
        <v>5845</v>
      </c>
      <c r="E1672" t="s">
        <v>5846</v>
      </c>
      <c r="F1672" t="s">
        <v>5847</v>
      </c>
    </row>
    <row r="1673" spans="1:6" x14ac:dyDescent="0.25">
      <c r="A1673" t="s">
        <v>1679</v>
      </c>
      <c r="B1673" t="str">
        <f>"68159100      "</f>
        <v xml:space="preserve">68159100      </v>
      </c>
      <c r="C1673" t="s">
        <v>5848</v>
      </c>
      <c r="D1673" t="s">
        <v>5849</v>
      </c>
      <c r="E1673" t="s">
        <v>5850</v>
      </c>
      <c r="F1673" t="s">
        <v>5851</v>
      </c>
    </row>
    <row r="1674" spans="1:6" x14ac:dyDescent="0.25">
      <c r="A1674" t="s">
        <v>1679</v>
      </c>
      <c r="B1674" t="str">
        <f>"69031000      "</f>
        <v xml:space="preserve">69031000      </v>
      </c>
      <c r="C1674" t="s">
        <v>5852</v>
      </c>
      <c r="D1674" t="s">
        <v>5853</v>
      </c>
      <c r="E1674" t="s">
        <v>5854</v>
      </c>
      <c r="F1674" t="s">
        <v>5855</v>
      </c>
    </row>
    <row r="1675" spans="1:6" x14ac:dyDescent="0.25">
      <c r="A1675" t="s">
        <v>1679</v>
      </c>
      <c r="B1675" t="str">
        <f>"69032010      "</f>
        <v xml:space="preserve">69032010      </v>
      </c>
      <c r="C1675" t="s">
        <v>5856</v>
      </c>
      <c r="D1675" t="s">
        <v>5856</v>
      </c>
      <c r="E1675" t="s">
        <v>5857</v>
      </c>
      <c r="F1675" t="s">
        <v>5858</v>
      </c>
    </row>
    <row r="1676" spans="1:6" x14ac:dyDescent="0.25">
      <c r="A1676" t="s">
        <v>1679</v>
      </c>
      <c r="B1676" t="str">
        <f>"69032090      "</f>
        <v xml:space="preserve">69032090      </v>
      </c>
      <c r="C1676" t="s">
        <v>5859</v>
      </c>
      <c r="D1676" t="s">
        <v>5859</v>
      </c>
      <c r="E1676" t="s">
        <v>5860</v>
      </c>
      <c r="F1676" t="s">
        <v>5861</v>
      </c>
    </row>
    <row r="1677" spans="1:6" x14ac:dyDescent="0.25">
      <c r="A1677" t="s">
        <v>1679</v>
      </c>
      <c r="B1677" t="str">
        <f>"69039010      "</f>
        <v xml:space="preserve">69039010      </v>
      </c>
      <c r="C1677" t="s">
        <v>5862</v>
      </c>
      <c r="D1677" t="s">
        <v>5862</v>
      </c>
      <c r="E1677" t="s">
        <v>5863</v>
      </c>
      <c r="F1677" t="s">
        <v>5864</v>
      </c>
    </row>
    <row r="1678" spans="1:6" x14ac:dyDescent="0.25">
      <c r="A1678" t="s">
        <v>1679</v>
      </c>
      <c r="B1678" t="str">
        <f>"69039090      "</f>
        <v xml:space="preserve">69039090      </v>
      </c>
      <c r="C1678" t="s">
        <v>4175</v>
      </c>
      <c r="D1678" t="s">
        <v>4175</v>
      </c>
      <c r="E1678" t="s">
        <v>5865</v>
      </c>
      <c r="F1678" t="s">
        <v>5866</v>
      </c>
    </row>
    <row r="1679" spans="1:6" x14ac:dyDescent="0.25">
      <c r="A1679" t="s">
        <v>1679</v>
      </c>
      <c r="B1679" t="str">
        <f>"70010010      "</f>
        <v xml:space="preserve">70010010      </v>
      </c>
      <c r="C1679" t="s">
        <v>5867</v>
      </c>
      <c r="D1679" t="s">
        <v>5867</v>
      </c>
      <c r="E1679" t="s">
        <v>5868</v>
      </c>
      <c r="F1679" t="s">
        <v>5869</v>
      </c>
    </row>
    <row r="1680" spans="1:6" x14ac:dyDescent="0.25">
      <c r="A1680" t="s">
        <v>1679</v>
      </c>
      <c r="B1680" t="str">
        <f>"70010091      "</f>
        <v xml:space="preserve">70010091      </v>
      </c>
      <c r="C1680" t="s">
        <v>5870</v>
      </c>
      <c r="D1680" t="s">
        <v>5870</v>
      </c>
      <c r="E1680" t="s">
        <v>5871</v>
      </c>
      <c r="F1680" t="s">
        <v>5872</v>
      </c>
    </row>
    <row r="1681" spans="1:6" x14ac:dyDescent="0.25">
      <c r="A1681" t="s">
        <v>1679</v>
      </c>
      <c r="B1681" t="str">
        <f>"70010099      "</f>
        <v xml:space="preserve">70010099      </v>
      </c>
      <c r="C1681" t="s">
        <v>4774</v>
      </c>
      <c r="D1681" t="s">
        <v>4774</v>
      </c>
      <c r="E1681" t="s">
        <v>5873</v>
      </c>
      <c r="F1681" t="s">
        <v>5874</v>
      </c>
    </row>
    <row r="1682" spans="1:6" x14ac:dyDescent="0.25">
      <c r="A1682" t="s">
        <v>1679</v>
      </c>
      <c r="B1682" t="str">
        <f>"70111000      "</f>
        <v xml:space="preserve">70111000      </v>
      </c>
      <c r="C1682" t="s">
        <v>5875</v>
      </c>
      <c r="D1682" t="s">
        <v>5875</v>
      </c>
      <c r="E1682" t="s">
        <v>5876</v>
      </c>
      <c r="F1682" t="s">
        <v>5877</v>
      </c>
    </row>
    <row r="1683" spans="1:6" x14ac:dyDescent="0.25">
      <c r="A1683" t="s">
        <v>1679</v>
      </c>
      <c r="B1683" t="str">
        <f>"70112000      "</f>
        <v xml:space="preserve">70112000      </v>
      </c>
      <c r="C1683" t="s">
        <v>5878</v>
      </c>
      <c r="D1683" t="s">
        <v>5878</v>
      </c>
      <c r="E1683" t="s">
        <v>5879</v>
      </c>
      <c r="F1683" t="s">
        <v>5880</v>
      </c>
    </row>
    <row r="1684" spans="1:6" x14ac:dyDescent="0.25">
      <c r="A1684" t="s">
        <v>1679</v>
      </c>
      <c r="B1684" t="str">
        <f>"70119000      "</f>
        <v xml:space="preserve">70119000      </v>
      </c>
      <c r="C1684" t="s">
        <v>4175</v>
      </c>
      <c r="D1684" t="s">
        <v>4175</v>
      </c>
      <c r="E1684" t="s">
        <v>5881</v>
      </c>
      <c r="F1684" t="s">
        <v>5882</v>
      </c>
    </row>
    <row r="1685" spans="1:6" x14ac:dyDescent="0.25">
      <c r="A1685" t="s">
        <v>1679</v>
      </c>
      <c r="B1685" t="str">
        <f>"70191100      "</f>
        <v xml:space="preserve">70191100      </v>
      </c>
      <c r="C1685" t="s">
        <v>5883</v>
      </c>
      <c r="D1685" t="s">
        <v>5883</v>
      </c>
      <c r="E1685" t="s">
        <v>5884</v>
      </c>
      <c r="F1685" t="s">
        <v>5885</v>
      </c>
    </row>
    <row r="1686" spans="1:6" x14ac:dyDescent="0.25">
      <c r="A1686" t="s">
        <v>1679</v>
      </c>
      <c r="B1686" t="str">
        <f>"70191200      "</f>
        <v xml:space="preserve">70191200      </v>
      </c>
      <c r="C1686" t="s">
        <v>5886</v>
      </c>
      <c r="D1686" t="s">
        <v>5886</v>
      </c>
      <c r="E1686" t="s">
        <v>5887</v>
      </c>
      <c r="F1686" t="s">
        <v>5888</v>
      </c>
    </row>
    <row r="1687" spans="1:6" x14ac:dyDescent="0.25">
      <c r="A1687" t="s">
        <v>1679</v>
      </c>
      <c r="B1687" t="str">
        <f>"70199000      "</f>
        <v xml:space="preserve">70199000      </v>
      </c>
      <c r="C1687" t="s">
        <v>4175</v>
      </c>
      <c r="D1687" t="s">
        <v>4175</v>
      </c>
      <c r="E1687" t="s">
        <v>5889</v>
      </c>
      <c r="F1687" t="s">
        <v>5890</v>
      </c>
    </row>
    <row r="1688" spans="1:6" x14ac:dyDescent="0.25">
      <c r="A1688" t="s">
        <v>1679</v>
      </c>
      <c r="B1688" t="str">
        <f>"71123000      "</f>
        <v xml:space="preserve">71123000      </v>
      </c>
      <c r="C1688" t="s">
        <v>5891</v>
      </c>
      <c r="D1688" t="s">
        <v>5891</v>
      </c>
      <c r="E1688" t="s">
        <v>5892</v>
      </c>
      <c r="F1688" t="s">
        <v>5893</v>
      </c>
    </row>
    <row r="1689" spans="1:6" x14ac:dyDescent="0.25">
      <c r="A1689" t="s">
        <v>1679</v>
      </c>
      <c r="B1689" t="str">
        <f>"71129100      "</f>
        <v xml:space="preserve">71129100      </v>
      </c>
      <c r="C1689" t="s">
        <v>5894</v>
      </c>
      <c r="D1689" t="s">
        <v>5894</v>
      </c>
      <c r="E1689" t="s">
        <v>5895</v>
      </c>
      <c r="F1689" t="s">
        <v>5896</v>
      </c>
    </row>
    <row r="1690" spans="1:6" x14ac:dyDescent="0.25">
      <c r="A1690" t="s">
        <v>1679</v>
      </c>
      <c r="B1690" t="str">
        <f>"71129200      "</f>
        <v xml:space="preserve">71129200      </v>
      </c>
      <c r="C1690" t="s">
        <v>5897</v>
      </c>
      <c r="D1690" t="s">
        <v>5897</v>
      </c>
      <c r="E1690" t="s">
        <v>5898</v>
      </c>
      <c r="F1690" t="s">
        <v>5899</v>
      </c>
    </row>
    <row r="1691" spans="1:6" x14ac:dyDescent="0.25">
      <c r="A1691" t="s">
        <v>1679</v>
      </c>
      <c r="B1691" t="str">
        <f>"71129900      "</f>
        <v xml:space="preserve">71129900      </v>
      </c>
      <c r="C1691" t="s">
        <v>4175</v>
      </c>
      <c r="D1691" t="s">
        <v>4175</v>
      </c>
      <c r="E1691" t="s">
        <v>5900</v>
      </c>
      <c r="F1691" t="s">
        <v>5901</v>
      </c>
    </row>
    <row r="1692" spans="1:6" x14ac:dyDescent="0.25">
      <c r="A1692" t="s">
        <v>1679</v>
      </c>
      <c r="B1692" t="str">
        <f>"73181100      "</f>
        <v xml:space="preserve">73181100      </v>
      </c>
      <c r="C1692" t="s">
        <v>5902</v>
      </c>
      <c r="D1692" t="s">
        <v>5902</v>
      </c>
      <c r="E1692" t="s">
        <v>5903</v>
      </c>
      <c r="F1692" t="s">
        <v>5904</v>
      </c>
    </row>
    <row r="1693" spans="1:6" x14ac:dyDescent="0.25">
      <c r="A1693" t="s">
        <v>1679</v>
      </c>
      <c r="B1693" t="str">
        <f>"73181210      "</f>
        <v xml:space="preserve">73181210      </v>
      </c>
      <c r="C1693" t="s">
        <v>5905</v>
      </c>
      <c r="D1693" t="s">
        <v>5905</v>
      </c>
      <c r="E1693" t="s">
        <v>5906</v>
      </c>
      <c r="F1693" t="s">
        <v>5907</v>
      </c>
    </row>
    <row r="1694" spans="1:6" x14ac:dyDescent="0.25">
      <c r="A1694" t="s">
        <v>1679</v>
      </c>
      <c r="B1694" t="str">
        <f>"73181290      "</f>
        <v xml:space="preserve">73181290      </v>
      </c>
      <c r="C1694" t="s">
        <v>4175</v>
      </c>
      <c r="D1694" t="s">
        <v>4175</v>
      </c>
      <c r="E1694" t="s">
        <v>5908</v>
      </c>
      <c r="F1694" t="s">
        <v>5909</v>
      </c>
    </row>
    <row r="1695" spans="1:6" x14ac:dyDescent="0.25">
      <c r="A1695" t="s">
        <v>1679</v>
      </c>
      <c r="B1695" t="str">
        <f>"73181300      "</f>
        <v xml:space="preserve">73181300      </v>
      </c>
      <c r="C1695" t="s">
        <v>5910</v>
      </c>
      <c r="D1695" t="s">
        <v>5910</v>
      </c>
      <c r="E1695" t="s">
        <v>5911</v>
      </c>
      <c r="F1695" t="s">
        <v>5912</v>
      </c>
    </row>
    <row r="1696" spans="1:6" x14ac:dyDescent="0.25">
      <c r="A1696" t="s">
        <v>1679</v>
      </c>
      <c r="B1696" t="str">
        <f>"73181410      "</f>
        <v xml:space="preserve">73181410      </v>
      </c>
      <c r="C1696" t="s">
        <v>5905</v>
      </c>
      <c r="D1696" t="s">
        <v>5905</v>
      </c>
      <c r="E1696" t="s">
        <v>5913</v>
      </c>
      <c r="F1696" t="s">
        <v>5914</v>
      </c>
    </row>
    <row r="1697" spans="1:6" x14ac:dyDescent="0.25">
      <c r="A1697" t="s">
        <v>1679</v>
      </c>
      <c r="B1697" t="str">
        <f>"73181491      "</f>
        <v xml:space="preserve">73181491      </v>
      </c>
      <c r="C1697" t="s">
        <v>5915</v>
      </c>
      <c r="D1697" t="s">
        <v>5915</v>
      </c>
      <c r="E1697" t="s">
        <v>5916</v>
      </c>
      <c r="F1697" t="s">
        <v>5917</v>
      </c>
    </row>
    <row r="1698" spans="1:6" x14ac:dyDescent="0.25">
      <c r="A1698" t="s">
        <v>1679</v>
      </c>
      <c r="B1698" t="str">
        <f>"73181499      "</f>
        <v xml:space="preserve">73181499      </v>
      </c>
      <c r="C1698" t="s">
        <v>4175</v>
      </c>
      <c r="D1698" t="s">
        <v>4175</v>
      </c>
      <c r="E1698" t="s">
        <v>5918</v>
      </c>
      <c r="F1698" t="s">
        <v>5919</v>
      </c>
    </row>
    <row r="1699" spans="1:6" x14ac:dyDescent="0.25">
      <c r="A1699" t="s">
        <v>1679</v>
      </c>
      <c r="B1699" t="str">
        <f>"73181520      "</f>
        <v xml:space="preserve">73181520      </v>
      </c>
      <c r="C1699" t="s">
        <v>5920</v>
      </c>
      <c r="D1699" t="s">
        <v>5920</v>
      </c>
      <c r="E1699" t="s">
        <v>5921</v>
      </c>
      <c r="F1699" t="s">
        <v>5922</v>
      </c>
    </row>
    <row r="1700" spans="1:6" x14ac:dyDescent="0.25">
      <c r="A1700" t="s">
        <v>1679</v>
      </c>
      <c r="B1700" t="str">
        <f>"73181535      "</f>
        <v xml:space="preserve">73181535      </v>
      </c>
      <c r="C1700" t="s">
        <v>5905</v>
      </c>
      <c r="D1700" t="s">
        <v>5905</v>
      </c>
      <c r="E1700" t="s">
        <v>5923</v>
      </c>
      <c r="F1700" t="s">
        <v>5924</v>
      </c>
    </row>
    <row r="1701" spans="1:6" x14ac:dyDescent="0.25">
      <c r="A1701" t="s">
        <v>1679</v>
      </c>
      <c r="B1701" t="str">
        <f>"73181542      "</f>
        <v xml:space="preserve">73181542      </v>
      </c>
      <c r="C1701" t="s">
        <v>5925</v>
      </c>
      <c r="D1701" t="s">
        <v>5925</v>
      </c>
      <c r="E1701" t="s">
        <v>5926</v>
      </c>
      <c r="F1701" t="s">
        <v>5927</v>
      </c>
    </row>
    <row r="1702" spans="1:6" x14ac:dyDescent="0.25">
      <c r="A1702" t="s">
        <v>1679</v>
      </c>
      <c r="B1702" t="str">
        <f>"73181548      "</f>
        <v xml:space="preserve">73181548      </v>
      </c>
      <c r="C1702" t="s">
        <v>5928</v>
      </c>
      <c r="D1702" t="s">
        <v>5928</v>
      </c>
      <c r="E1702" t="s">
        <v>5929</v>
      </c>
      <c r="F1702" t="s">
        <v>5930</v>
      </c>
    </row>
    <row r="1703" spans="1:6" x14ac:dyDescent="0.25">
      <c r="A1703" t="s">
        <v>1679</v>
      </c>
      <c r="B1703" t="str">
        <f>"73181552      "</f>
        <v xml:space="preserve">73181552      </v>
      </c>
      <c r="C1703" t="s">
        <v>5905</v>
      </c>
      <c r="D1703" t="s">
        <v>5905</v>
      </c>
      <c r="E1703" t="s">
        <v>5931</v>
      </c>
      <c r="F1703" t="s">
        <v>5932</v>
      </c>
    </row>
    <row r="1704" spans="1:6" x14ac:dyDescent="0.25">
      <c r="A1704" t="s">
        <v>1679</v>
      </c>
      <c r="B1704" t="str">
        <f>"73181558      "</f>
        <v xml:space="preserve">73181558      </v>
      </c>
      <c r="C1704" t="s">
        <v>4175</v>
      </c>
      <c r="D1704" t="s">
        <v>4175</v>
      </c>
      <c r="E1704" t="s">
        <v>5933</v>
      </c>
      <c r="F1704" t="s">
        <v>5934</v>
      </c>
    </row>
    <row r="1705" spans="1:6" x14ac:dyDescent="0.25">
      <c r="A1705" t="s">
        <v>1679</v>
      </c>
      <c r="B1705" t="str">
        <f>"73181562      "</f>
        <v xml:space="preserve">73181562      </v>
      </c>
      <c r="C1705" t="s">
        <v>5905</v>
      </c>
      <c r="D1705" t="s">
        <v>5905</v>
      </c>
      <c r="E1705" t="s">
        <v>5935</v>
      </c>
      <c r="F1705" t="s">
        <v>5936</v>
      </c>
    </row>
    <row r="1706" spans="1:6" x14ac:dyDescent="0.25">
      <c r="A1706" t="s">
        <v>1679</v>
      </c>
      <c r="B1706" t="str">
        <f>"73181568      "</f>
        <v xml:space="preserve">73181568      </v>
      </c>
      <c r="C1706" t="s">
        <v>4175</v>
      </c>
      <c r="D1706" t="s">
        <v>4175</v>
      </c>
      <c r="E1706" t="s">
        <v>5937</v>
      </c>
      <c r="F1706" t="s">
        <v>5938</v>
      </c>
    </row>
    <row r="1707" spans="1:6" x14ac:dyDescent="0.25">
      <c r="A1707" t="s">
        <v>1679</v>
      </c>
      <c r="B1707" t="str">
        <f>"73181575      "</f>
        <v xml:space="preserve">73181575      </v>
      </c>
      <c r="C1707" t="s">
        <v>5905</v>
      </c>
      <c r="D1707" t="s">
        <v>5905</v>
      </c>
      <c r="E1707" t="s">
        <v>5939</v>
      </c>
      <c r="F1707" t="s">
        <v>5940</v>
      </c>
    </row>
    <row r="1708" spans="1:6" x14ac:dyDescent="0.25">
      <c r="A1708" t="s">
        <v>1679</v>
      </c>
      <c r="B1708" t="str">
        <f>"73181582      "</f>
        <v xml:space="preserve">73181582      </v>
      </c>
      <c r="C1708" t="s">
        <v>5925</v>
      </c>
      <c r="D1708" t="s">
        <v>5925</v>
      </c>
      <c r="E1708" t="s">
        <v>5941</v>
      </c>
      <c r="F1708" t="s">
        <v>5942</v>
      </c>
    </row>
    <row r="1709" spans="1:6" x14ac:dyDescent="0.25">
      <c r="A1709" t="s">
        <v>1679</v>
      </c>
      <c r="B1709" t="str">
        <f>"73181588      "</f>
        <v xml:space="preserve">73181588      </v>
      </c>
      <c r="C1709" t="s">
        <v>5928</v>
      </c>
      <c r="D1709" t="s">
        <v>5928</v>
      </c>
      <c r="E1709" t="s">
        <v>5943</v>
      </c>
      <c r="F1709" t="s">
        <v>5944</v>
      </c>
    </row>
    <row r="1710" spans="1:6" x14ac:dyDescent="0.25">
      <c r="A1710" t="s">
        <v>1679</v>
      </c>
      <c r="B1710" t="str">
        <f>"73181595      "</f>
        <v xml:space="preserve">73181595      </v>
      </c>
      <c r="C1710" t="s">
        <v>4175</v>
      </c>
      <c r="D1710" t="s">
        <v>4175</v>
      </c>
      <c r="E1710" t="s">
        <v>5945</v>
      </c>
      <c r="F1710" t="s">
        <v>5946</v>
      </c>
    </row>
    <row r="1711" spans="1:6" x14ac:dyDescent="0.25">
      <c r="A1711" t="s">
        <v>1679</v>
      </c>
      <c r="B1711" t="str">
        <f>"73181631      "</f>
        <v xml:space="preserve">73181631      </v>
      </c>
      <c r="C1711" t="s">
        <v>5947</v>
      </c>
      <c r="D1711" t="s">
        <v>5947</v>
      </c>
      <c r="E1711" t="s">
        <v>5948</v>
      </c>
      <c r="F1711" t="s">
        <v>5949</v>
      </c>
    </row>
    <row r="1712" spans="1:6" x14ac:dyDescent="0.25">
      <c r="A1712" t="s">
        <v>1679</v>
      </c>
      <c r="B1712" t="str">
        <f>"73181639      "</f>
        <v xml:space="preserve">73181639      </v>
      </c>
      <c r="C1712" t="s">
        <v>4175</v>
      </c>
      <c r="D1712" t="s">
        <v>4175</v>
      </c>
      <c r="E1712" t="s">
        <v>5950</v>
      </c>
      <c r="F1712" t="s">
        <v>5951</v>
      </c>
    </row>
    <row r="1713" spans="1:6" x14ac:dyDescent="0.25">
      <c r="A1713" t="s">
        <v>1679</v>
      </c>
      <c r="B1713" t="str">
        <f>"73181640      "</f>
        <v xml:space="preserve">73181640      </v>
      </c>
      <c r="C1713" t="s">
        <v>5947</v>
      </c>
      <c r="D1713" t="s">
        <v>5947</v>
      </c>
      <c r="E1713" t="s">
        <v>5952</v>
      </c>
      <c r="F1713" t="s">
        <v>5953</v>
      </c>
    </row>
    <row r="1714" spans="1:6" x14ac:dyDescent="0.25">
      <c r="A1714" t="s">
        <v>1679</v>
      </c>
      <c r="B1714" t="str">
        <f>"73181660      "</f>
        <v xml:space="preserve">73181660      </v>
      </c>
      <c r="C1714" t="s">
        <v>5954</v>
      </c>
      <c r="D1714" t="s">
        <v>5954</v>
      </c>
      <c r="E1714" t="s">
        <v>5955</v>
      </c>
      <c r="F1714" t="s">
        <v>5956</v>
      </c>
    </row>
    <row r="1715" spans="1:6" x14ac:dyDescent="0.25">
      <c r="A1715" t="s">
        <v>1679</v>
      </c>
      <c r="B1715" t="str">
        <f>"73181692      "</f>
        <v xml:space="preserve">73181692      </v>
      </c>
      <c r="C1715" t="s">
        <v>5957</v>
      </c>
      <c r="D1715" t="s">
        <v>5957</v>
      </c>
      <c r="E1715" t="s">
        <v>5958</v>
      </c>
      <c r="F1715" t="s">
        <v>5959</v>
      </c>
    </row>
    <row r="1716" spans="1:6" x14ac:dyDescent="0.25">
      <c r="A1716" t="s">
        <v>1679</v>
      </c>
      <c r="B1716" t="str">
        <f>"73181699      "</f>
        <v xml:space="preserve">73181699      </v>
      </c>
      <c r="C1716" t="s">
        <v>5960</v>
      </c>
      <c r="D1716" t="s">
        <v>5960</v>
      </c>
      <c r="E1716" t="s">
        <v>5961</v>
      </c>
      <c r="F1716" t="s">
        <v>5962</v>
      </c>
    </row>
    <row r="1717" spans="1:6" x14ac:dyDescent="0.25">
      <c r="A1717" t="s">
        <v>1679</v>
      </c>
      <c r="B1717" t="str">
        <f>"73181900      "</f>
        <v xml:space="preserve">73181900      </v>
      </c>
      <c r="C1717" t="s">
        <v>4175</v>
      </c>
      <c r="D1717" t="s">
        <v>4175</v>
      </c>
      <c r="E1717" t="s">
        <v>5963</v>
      </c>
      <c r="F1717" t="s">
        <v>5964</v>
      </c>
    </row>
    <row r="1718" spans="1:6" x14ac:dyDescent="0.25">
      <c r="A1718" t="s">
        <v>1679</v>
      </c>
      <c r="B1718" t="str">
        <f>"73182100      "</f>
        <v xml:space="preserve">73182100      </v>
      </c>
      <c r="C1718" t="s">
        <v>5965</v>
      </c>
      <c r="D1718" t="s">
        <v>5965</v>
      </c>
      <c r="E1718" t="s">
        <v>5966</v>
      </c>
      <c r="F1718" t="s">
        <v>5967</v>
      </c>
    </row>
    <row r="1719" spans="1:6" x14ac:dyDescent="0.25">
      <c r="A1719" t="s">
        <v>1679</v>
      </c>
      <c r="B1719" t="str">
        <f>"73182200      "</f>
        <v xml:space="preserve">73182200      </v>
      </c>
      <c r="C1719" t="s">
        <v>5968</v>
      </c>
      <c r="D1719" t="s">
        <v>5968</v>
      </c>
      <c r="E1719" t="s">
        <v>5969</v>
      </c>
      <c r="F1719" t="s">
        <v>5970</v>
      </c>
    </row>
    <row r="1720" spans="1:6" x14ac:dyDescent="0.25">
      <c r="A1720" t="s">
        <v>1679</v>
      </c>
      <c r="B1720" t="str">
        <f>"73182300      "</f>
        <v xml:space="preserve">73182300      </v>
      </c>
      <c r="C1720" t="s">
        <v>5971</v>
      </c>
      <c r="D1720" t="s">
        <v>5971</v>
      </c>
      <c r="E1720" t="s">
        <v>5972</v>
      </c>
      <c r="F1720" t="s">
        <v>5973</v>
      </c>
    </row>
    <row r="1721" spans="1:6" x14ac:dyDescent="0.25">
      <c r="A1721" t="s">
        <v>1679</v>
      </c>
      <c r="B1721" t="str">
        <f>"73182400      "</f>
        <v xml:space="preserve">73182400      </v>
      </c>
      <c r="C1721" t="s">
        <v>5974</v>
      </c>
      <c r="D1721" t="s">
        <v>5975</v>
      </c>
      <c r="E1721" t="s">
        <v>5976</v>
      </c>
      <c r="F1721" t="s">
        <v>5977</v>
      </c>
    </row>
    <row r="1722" spans="1:6" x14ac:dyDescent="0.25">
      <c r="A1722" t="s">
        <v>1679</v>
      </c>
      <c r="B1722" t="str">
        <f>"73182900      "</f>
        <v xml:space="preserve">73182900      </v>
      </c>
      <c r="C1722" t="s">
        <v>4175</v>
      </c>
      <c r="D1722" t="s">
        <v>4175</v>
      </c>
      <c r="E1722" t="s">
        <v>5978</v>
      </c>
      <c r="F1722" t="s">
        <v>5979</v>
      </c>
    </row>
    <row r="1723" spans="1:6" x14ac:dyDescent="0.25">
      <c r="A1723" t="s">
        <v>1679</v>
      </c>
      <c r="B1723" t="str">
        <f>"76061191      "</f>
        <v xml:space="preserve">76061191      </v>
      </c>
      <c r="C1723" t="s">
        <v>5980</v>
      </c>
      <c r="D1723" t="s">
        <v>5981</v>
      </c>
      <c r="E1723" t="s">
        <v>5982</v>
      </c>
      <c r="F1723" t="s">
        <v>5983</v>
      </c>
    </row>
    <row r="1724" spans="1:6" x14ac:dyDescent="0.25">
      <c r="A1724" t="s">
        <v>1679</v>
      </c>
      <c r="B1724" t="str">
        <f>"76061193      "</f>
        <v xml:space="preserve">76061193      </v>
      </c>
      <c r="C1724" t="s">
        <v>5984</v>
      </c>
      <c r="D1724" t="s">
        <v>5985</v>
      </c>
      <c r="E1724" t="s">
        <v>5986</v>
      </c>
      <c r="F1724" t="s">
        <v>5987</v>
      </c>
    </row>
    <row r="1725" spans="1:6" x14ac:dyDescent="0.25">
      <c r="A1725" t="s">
        <v>1679</v>
      </c>
      <c r="B1725" t="str">
        <f>"76061199      "</f>
        <v xml:space="preserve">76061199      </v>
      </c>
      <c r="C1725" t="s">
        <v>5988</v>
      </c>
      <c r="D1725" t="s">
        <v>5989</v>
      </c>
      <c r="E1725" t="s">
        <v>5990</v>
      </c>
      <c r="F1725" t="s">
        <v>5991</v>
      </c>
    </row>
    <row r="1726" spans="1:6" x14ac:dyDescent="0.25">
      <c r="A1726" t="s">
        <v>1679</v>
      </c>
      <c r="B1726" t="str">
        <f>"78041100      "</f>
        <v xml:space="preserve">78041100      </v>
      </c>
      <c r="C1726" t="s">
        <v>5992</v>
      </c>
      <c r="D1726" t="s">
        <v>5992</v>
      </c>
      <c r="E1726" t="s">
        <v>5993</v>
      </c>
      <c r="F1726" t="s">
        <v>5994</v>
      </c>
    </row>
    <row r="1727" spans="1:6" x14ac:dyDescent="0.25">
      <c r="A1727" t="s">
        <v>1679</v>
      </c>
      <c r="B1727" t="str">
        <f>"78041900      "</f>
        <v xml:space="preserve">78041900      </v>
      </c>
      <c r="C1727" t="s">
        <v>4175</v>
      </c>
      <c r="D1727" t="s">
        <v>4175</v>
      </c>
      <c r="E1727" t="s">
        <v>5995</v>
      </c>
      <c r="F1727" t="s">
        <v>5996</v>
      </c>
    </row>
    <row r="1728" spans="1:6" x14ac:dyDescent="0.25">
      <c r="A1728" t="s">
        <v>1679</v>
      </c>
      <c r="B1728" t="str">
        <f>"78042000      "</f>
        <v xml:space="preserve">78042000      </v>
      </c>
      <c r="C1728" t="s">
        <v>5997</v>
      </c>
      <c r="D1728" t="s">
        <v>5997</v>
      </c>
      <c r="E1728" t="s">
        <v>5998</v>
      </c>
      <c r="F1728" t="s">
        <v>5999</v>
      </c>
    </row>
    <row r="1729" spans="1:6" x14ac:dyDescent="0.25">
      <c r="A1729" t="s">
        <v>1679</v>
      </c>
      <c r="B1729" t="str">
        <f>"81121200      "</f>
        <v xml:space="preserve">81121200      </v>
      </c>
      <c r="C1729" t="s">
        <v>6000</v>
      </c>
      <c r="D1729" t="s">
        <v>6000</v>
      </c>
      <c r="E1729" t="s">
        <v>6001</v>
      </c>
      <c r="F1729" t="s">
        <v>6002</v>
      </c>
    </row>
    <row r="1730" spans="1:6" x14ac:dyDescent="0.25">
      <c r="A1730" t="s">
        <v>1679</v>
      </c>
      <c r="B1730" t="str">
        <f>"81121300      "</f>
        <v xml:space="preserve">81121300      </v>
      </c>
      <c r="C1730" t="s">
        <v>6003</v>
      </c>
      <c r="D1730" t="s">
        <v>6003</v>
      </c>
      <c r="E1730" t="s">
        <v>6004</v>
      </c>
      <c r="F1730" t="s">
        <v>6005</v>
      </c>
    </row>
    <row r="1731" spans="1:6" x14ac:dyDescent="0.25">
      <c r="A1731" t="s">
        <v>1679</v>
      </c>
      <c r="B1731" t="str">
        <f>"81121900      "</f>
        <v xml:space="preserve">81121900      </v>
      </c>
      <c r="C1731" t="s">
        <v>4175</v>
      </c>
      <c r="D1731" t="s">
        <v>4175</v>
      </c>
      <c r="E1731" t="s">
        <v>6006</v>
      </c>
      <c r="F1731" t="s">
        <v>6007</v>
      </c>
    </row>
    <row r="1732" spans="1:6" x14ac:dyDescent="0.25">
      <c r="A1732" t="s">
        <v>1679</v>
      </c>
      <c r="B1732" t="str">
        <f>"81122110      "</f>
        <v xml:space="preserve">81122110      </v>
      </c>
      <c r="C1732" t="s">
        <v>6008</v>
      </c>
      <c r="D1732" t="s">
        <v>6008</v>
      </c>
      <c r="E1732" t="s">
        <v>6009</v>
      </c>
      <c r="F1732" t="s">
        <v>6010</v>
      </c>
    </row>
    <row r="1733" spans="1:6" x14ac:dyDescent="0.25">
      <c r="A1733" t="s">
        <v>1679</v>
      </c>
      <c r="B1733" t="str">
        <f>"81122190      "</f>
        <v xml:space="preserve">81122190      </v>
      </c>
      <c r="C1733" t="s">
        <v>4175</v>
      </c>
      <c r="D1733" t="s">
        <v>4175</v>
      </c>
      <c r="E1733" t="s">
        <v>6011</v>
      </c>
      <c r="F1733" t="s">
        <v>6012</v>
      </c>
    </row>
    <row r="1734" spans="1:6" x14ac:dyDescent="0.25">
      <c r="A1734" t="s">
        <v>1679</v>
      </c>
      <c r="B1734" t="str">
        <f>"81122200      "</f>
        <v xml:space="preserve">81122200      </v>
      </c>
      <c r="C1734" t="s">
        <v>6003</v>
      </c>
      <c r="D1734" t="s">
        <v>6003</v>
      </c>
      <c r="E1734" t="s">
        <v>6013</v>
      </c>
      <c r="F1734" t="s">
        <v>6014</v>
      </c>
    </row>
    <row r="1735" spans="1:6" x14ac:dyDescent="0.25">
      <c r="A1735" t="s">
        <v>1679</v>
      </c>
      <c r="B1735" t="str">
        <f>"81122900      "</f>
        <v xml:space="preserve">81122900      </v>
      </c>
      <c r="C1735" t="s">
        <v>4175</v>
      </c>
      <c r="D1735" t="s">
        <v>4175</v>
      </c>
      <c r="E1735" t="s">
        <v>6015</v>
      </c>
      <c r="F1735" t="s">
        <v>6016</v>
      </c>
    </row>
    <row r="1736" spans="1:6" x14ac:dyDescent="0.25">
      <c r="A1736" t="s">
        <v>1679</v>
      </c>
      <c r="B1736" t="str">
        <f>"81125100      "</f>
        <v xml:space="preserve">81125100      </v>
      </c>
      <c r="C1736" t="s">
        <v>6000</v>
      </c>
      <c r="D1736" t="s">
        <v>6000</v>
      </c>
      <c r="E1736" t="s">
        <v>6017</v>
      </c>
      <c r="F1736" t="s">
        <v>6018</v>
      </c>
    </row>
    <row r="1737" spans="1:6" x14ac:dyDescent="0.25">
      <c r="A1737" t="s">
        <v>1679</v>
      </c>
      <c r="B1737" t="str">
        <f>"81125200      "</f>
        <v xml:space="preserve">81125200      </v>
      </c>
      <c r="C1737" t="s">
        <v>6003</v>
      </c>
      <c r="D1737" t="s">
        <v>6003</v>
      </c>
      <c r="E1737" t="s">
        <v>6019</v>
      </c>
      <c r="F1737" t="s">
        <v>6020</v>
      </c>
    </row>
    <row r="1738" spans="1:6" x14ac:dyDescent="0.25">
      <c r="A1738" t="s">
        <v>1679</v>
      </c>
      <c r="B1738" t="str">
        <f>"81125900      "</f>
        <v xml:space="preserve">81125900      </v>
      </c>
      <c r="C1738" t="s">
        <v>4175</v>
      </c>
      <c r="D1738" t="s">
        <v>4175</v>
      </c>
      <c r="E1738" t="s">
        <v>6021</v>
      </c>
      <c r="F1738" t="s">
        <v>6022</v>
      </c>
    </row>
    <row r="1739" spans="1:6" x14ac:dyDescent="0.25">
      <c r="A1739" t="s">
        <v>1679</v>
      </c>
      <c r="B1739" t="str">
        <f>"81129221      "</f>
        <v xml:space="preserve">81129221      </v>
      </c>
      <c r="C1739" t="s">
        <v>6003</v>
      </c>
      <c r="D1739" t="s">
        <v>6003</v>
      </c>
      <c r="E1739" t="s">
        <v>6023</v>
      </c>
      <c r="F1739" t="s">
        <v>6024</v>
      </c>
    </row>
    <row r="1740" spans="1:6" x14ac:dyDescent="0.25">
      <c r="A1740" t="s">
        <v>1679</v>
      </c>
      <c r="B1740" t="str">
        <f>"81129281      "</f>
        <v xml:space="preserve">81129281      </v>
      </c>
      <c r="C1740" t="s">
        <v>3448</v>
      </c>
      <c r="D1740" t="s">
        <v>3448</v>
      </c>
      <c r="E1740" t="s">
        <v>6025</v>
      </c>
      <c r="F1740" t="s">
        <v>6026</v>
      </c>
    </row>
    <row r="1741" spans="1:6" x14ac:dyDescent="0.25">
      <c r="A1741" t="s">
        <v>1679</v>
      </c>
      <c r="B1741" t="str">
        <f>"81129289      "</f>
        <v xml:space="preserve">81129289      </v>
      </c>
      <c r="C1741" t="s">
        <v>3451</v>
      </c>
      <c r="D1741" t="s">
        <v>3451</v>
      </c>
      <c r="E1741" t="s">
        <v>6027</v>
      </c>
      <c r="F1741" t="s">
        <v>6028</v>
      </c>
    </row>
    <row r="1742" spans="1:6" x14ac:dyDescent="0.25">
      <c r="A1742" t="s">
        <v>1679</v>
      </c>
      <c r="B1742" t="str">
        <f>"81129291      "</f>
        <v xml:space="preserve">81129291      </v>
      </c>
      <c r="C1742" t="s">
        <v>3454</v>
      </c>
      <c r="D1742" t="s">
        <v>3454</v>
      </c>
      <c r="E1742" t="s">
        <v>6029</v>
      </c>
      <c r="F1742" t="s">
        <v>6030</v>
      </c>
    </row>
    <row r="1743" spans="1:6" x14ac:dyDescent="0.25">
      <c r="A1743" t="s">
        <v>1679</v>
      </c>
      <c r="B1743" t="str">
        <f>"81129295      "</f>
        <v xml:space="preserve">81129295      </v>
      </c>
      <c r="C1743" t="s">
        <v>1051</v>
      </c>
      <c r="D1743" t="s">
        <v>1051</v>
      </c>
      <c r="E1743" t="s">
        <v>6031</v>
      </c>
      <c r="F1743" t="s">
        <v>6032</v>
      </c>
    </row>
    <row r="1744" spans="1:6" x14ac:dyDescent="0.25">
      <c r="A1744" t="s">
        <v>1679</v>
      </c>
      <c r="B1744" t="str">
        <f>"81129970      "</f>
        <v xml:space="preserve">81129970      </v>
      </c>
      <c r="C1744" t="s">
        <v>6033</v>
      </c>
      <c r="D1744" t="s">
        <v>6033</v>
      </c>
      <c r="E1744" t="s">
        <v>6034</v>
      </c>
      <c r="F1744" t="s">
        <v>6035</v>
      </c>
    </row>
    <row r="1745" spans="1:6" x14ac:dyDescent="0.25">
      <c r="A1745" t="s">
        <v>1679</v>
      </c>
      <c r="B1745" t="str">
        <f>"84141015      "</f>
        <v xml:space="preserve">84141015      </v>
      </c>
      <c r="C1745" t="s">
        <v>6036</v>
      </c>
      <c r="D1745" t="s">
        <v>6036</v>
      </c>
      <c r="E1745" t="s">
        <v>6037</v>
      </c>
      <c r="F1745" t="s">
        <v>6038</v>
      </c>
    </row>
    <row r="1746" spans="1:6" x14ac:dyDescent="0.25">
      <c r="A1746" t="s">
        <v>1679</v>
      </c>
      <c r="B1746" t="str">
        <f>"84141025      "</f>
        <v xml:space="preserve">84141025      </v>
      </c>
      <c r="C1746" t="s">
        <v>6039</v>
      </c>
      <c r="D1746" t="s">
        <v>6039</v>
      </c>
      <c r="E1746" t="s">
        <v>6040</v>
      </c>
      <c r="F1746" t="s">
        <v>6041</v>
      </c>
    </row>
    <row r="1747" spans="1:6" x14ac:dyDescent="0.25">
      <c r="A1747" t="s">
        <v>1679</v>
      </c>
      <c r="B1747" t="str">
        <f>"84141081      "</f>
        <v xml:space="preserve">84141081      </v>
      </c>
      <c r="C1747" t="s">
        <v>6042</v>
      </c>
      <c r="D1747" t="s">
        <v>6042</v>
      </c>
      <c r="E1747" t="s">
        <v>6043</v>
      </c>
      <c r="F1747" t="s">
        <v>6044</v>
      </c>
    </row>
    <row r="1748" spans="1:6" x14ac:dyDescent="0.25">
      <c r="A1748" t="s">
        <v>1679</v>
      </c>
      <c r="B1748" t="str">
        <f>"84141089      "</f>
        <v xml:space="preserve">84141089      </v>
      </c>
      <c r="C1748" t="s">
        <v>4175</v>
      </c>
      <c r="D1748" t="s">
        <v>4175</v>
      </c>
      <c r="E1748" t="s">
        <v>6045</v>
      </c>
      <c r="F1748" t="s">
        <v>6046</v>
      </c>
    </row>
    <row r="1749" spans="1:6" x14ac:dyDescent="0.25">
      <c r="A1749" t="s">
        <v>1679</v>
      </c>
      <c r="B1749" t="str">
        <f>"84142020      "</f>
        <v xml:space="preserve">84142020      </v>
      </c>
      <c r="C1749" t="s">
        <v>6047</v>
      </c>
      <c r="D1749" t="s">
        <v>6047</v>
      </c>
      <c r="E1749" t="s">
        <v>6048</v>
      </c>
      <c r="F1749" t="s">
        <v>6049</v>
      </c>
    </row>
    <row r="1750" spans="1:6" x14ac:dyDescent="0.25">
      <c r="A1750" t="s">
        <v>1679</v>
      </c>
      <c r="B1750" t="str">
        <f>"84142080      "</f>
        <v xml:space="preserve">84142080      </v>
      </c>
      <c r="C1750" t="s">
        <v>4175</v>
      </c>
      <c r="D1750" t="s">
        <v>4175</v>
      </c>
      <c r="E1750" t="s">
        <v>6050</v>
      </c>
      <c r="F1750" t="s">
        <v>6051</v>
      </c>
    </row>
    <row r="1751" spans="1:6" x14ac:dyDescent="0.25">
      <c r="A1751" t="s">
        <v>1679</v>
      </c>
      <c r="B1751" t="str">
        <f>"84143020      "</f>
        <v xml:space="preserve">84143020      </v>
      </c>
      <c r="C1751" t="s">
        <v>6052</v>
      </c>
      <c r="D1751" t="s">
        <v>6052</v>
      </c>
      <c r="E1751" t="s">
        <v>6053</v>
      </c>
      <c r="F1751" t="s">
        <v>6054</v>
      </c>
    </row>
    <row r="1752" spans="1:6" x14ac:dyDescent="0.25">
      <c r="A1752" t="s">
        <v>1679</v>
      </c>
      <c r="B1752" t="str">
        <f>"84143081      "</f>
        <v xml:space="preserve">84143081      </v>
      </c>
      <c r="C1752" t="s">
        <v>6055</v>
      </c>
      <c r="D1752" t="s">
        <v>6055</v>
      </c>
      <c r="E1752" t="s">
        <v>6056</v>
      </c>
      <c r="F1752" t="s">
        <v>6057</v>
      </c>
    </row>
    <row r="1753" spans="1:6" x14ac:dyDescent="0.25">
      <c r="A1753" t="s">
        <v>1679</v>
      </c>
      <c r="B1753" t="str">
        <f>"84143089      "</f>
        <v xml:space="preserve">84143089      </v>
      </c>
      <c r="C1753" t="s">
        <v>4175</v>
      </c>
      <c r="D1753" t="s">
        <v>4175</v>
      </c>
      <c r="E1753" t="s">
        <v>6058</v>
      </c>
      <c r="F1753" t="s">
        <v>6059</v>
      </c>
    </row>
    <row r="1754" spans="1:6" x14ac:dyDescent="0.25">
      <c r="A1754" t="s">
        <v>1679</v>
      </c>
      <c r="B1754" t="str">
        <f>"84144010      "</f>
        <v xml:space="preserve">84144010      </v>
      </c>
      <c r="C1754" t="s">
        <v>6060</v>
      </c>
      <c r="D1754" t="s">
        <v>6060</v>
      </c>
      <c r="E1754" t="s">
        <v>6061</v>
      </c>
      <c r="F1754" t="s">
        <v>6062</v>
      </c>
    </row>
    <row r="1755" spans="1:6" x14ac:dyDescent="0.25">
      <c r="A1755" t="s">
        <v>1679</v>
      </c>
      <c r="B1755" t="str">
        <f>"84144090      "</f>
        <v xml:space="preserve">84144090      </v>
      </c>
      <c r="C1755" t="s">
        <v>6063</v>
      </c>
      <c r="D1755" t="s">
        <v>6063</v>
      </c>
      <c r="E1755" t="s">
        <v>6064</v>
      </c>
      <c r="F1755" t="s">
        <v>6065</v>
      </c>
    </row>
    <row r="1756" spans="1:6" x14ac:dyDescent="0.25">
      <c r="A1756" t="s">
        <v>1679</v>
      </c>
      <c r="B1756" t="str">
        <f>"84145100      "</f>
        <v xml:space="preserve">84145100      </v>
      </c>
      <c r="C1756" t="s">
        <v>6066</v>
      </c>
      <c r="D1756" t="s">
        <v>6066</v>
      </c>
      <c r="E1756" t="s">
        <v>6067</v>
      </c>
      <c r="F1756" t="s">
        <v>6068</v>
      </c>
    </row>
    <row r="1757" spans="1:6" x14ac:dyDescent="0.25">
      <c r="A1757" t="s">
        <v>1679</v>
      </c>
      <c r="B1757" t="str">
        <f>"84145915      "</f>
        <v xml:space="preserve">84145915      </v>
      </c>
      <c r="C1757" t="s">
        <v>6069</v>
      </c>
      <c r="D1757" t="s">
        <v>6069</v>
      </c>
      <c r="E1757" t="s">
        <v>6070</v>
      </c>
      <c r="F1757" t="s">
        <v>6071</v>
      </c>
    </row>
    <row r="1758" spans="1:6" x14ac:dyDescent="0.25">
      <c r="A1758" t="s">
        <v>1679</v>
      </c>
      <c r="B1758" t="str">
        <f>"84145925      "</f>
        <v xml:space="preserve">84145925      </v>
      </c>
      <c r="C1758" t="s">
        <v>6072</v>
      </c>
      <c r="D1758" t="s">
        <v>6072</v>
      </c>
      <c r="E1758" t="s">
        <v>6073</v>
      </c>
      <c r="F1758" t="s">
        <v>6074</v>
      </c>
    </row>
    <row r="1759" spans="1:6" x14ac:dyDescent="0.25">
      <c r="A1759" t="s">
        <v>1679</v>
      </c>
      <c r="B1759" t="str">
        <f>"84145935      "</f>
        <v xml:space="preserve">84145935      </v>
      </c>
      <c r="C1759" t="s">
        <v>6075</v>
      </c>
      <c r="D1759" t="s">
        <v>6075</v>
      </c>
      <c r="E1759" t="s">
        <v>6076</v>
      </c>
      <c r="F1759" t="s">
        <v>6077</v>
      </c>
    </row>
    <row r="1760" spans="1:6" x14ac:dyDescent="0.25">
      <c r="A1760" t="s">
        <v>1679</v>
      </c>
      <c r="B1760" t="str">
        <f>"84145995      "</f>
        <v xml:space="preserve">84145995      </v>
      </c>
      <c r="C1760" t="s">
        <v>4175</v>
      </c>
      <c r="D1760" t="s">
        <v>4175</v>
      </c>
      <c r="E1760" t="s">
        <v>6078</v>
      </c>
      <c r="F1760" t="s">
        <v>6079</v>
      </c>
    </row>
    <row r="1761" spans="1:6" x14ac:dyDescent="0.25">
      <c r="A1761" t="s">
        <v>1679</v>
      </c>
      <c r="B1761" t="str">
        <f>"84146000      "</f>
        <v xml:space="preserve">84146000      </v>
      </c>
      <c r="C1761" t="s">
        <v>6080</v>
      </c>
      <c r="D1761" t="s">
        <v>6080</v>
      </c>
      <c r="E1761" t="s">
        <v>6081</v>
      </c>
      <c r="F1761" t="s">
        <v>6082</v>
      </c>
    </row>
    <row r="1762" spans="1:6" x14ac:dyDescent="0.25">
      <c r="A1762" t="s">
        <v>1679</v>
      </c>
      <c r="B1762" t="str">
        <f>"84148011      "</f>
        <v xml:space="preserve">84148011      </v>
      </c>
      <c r="C1762" t="s">
        <v>6083</v>
      </c>
      <c r="D1762" t="s">
        <v>6083</v>
      </c>
      <c r="E1762" t="s">
        <v>6084</v>
      </c>
      <c r="F1762" t="s">
        <v>6085</v>
      </c>
    </row>
    <row r="1763" spans="1:6" x14ac:dyDescent="0.25">
      <c r="A1763" t="s">
        <v>1679</v>
      </c>
      <c r="B1763" t="str">
        <f>"84148019      "</f>
        <v xml:space="preserve">84148019      </v>
      </c>
      <c r="C1763" t="s">
        <v>6086</v>
      </c>
      <c r="D1763" t="s">
        <v>6086</v>
      </c>
      <c r="E1763" t="s">
        <v>6087</v>
      </c>
      <c r="F1763" t="s">
        <v>6088</v>
      </c>
    </row>
    <row r="1764" spans="1:6" x14ac:dyDescent="0.25">
      <c r="A1764" t="s">
        <v>1679</v>
      </c>
      <c r="B1764" t="str">
        <f>"84148022      "</f>
        <v xml:space="preserve">84148022      </v>
      </c>
      <c r="C1764" t="s">
        <v>6089</v>
      </c>
      <c r="D1764" t="s">
        <v>6089</v>
      </c>
      <c r="E1764" t="s">
        <v>6090</v>
      </c>
      <c r="F1764" t="s">
        <v>6091</v>
      </c>
    </row>
    <row r="1765" spans="1:6" x14ac:dyDescent="0.25">
      <c r="A1765" t="s">
        <v>1679</v>
      </c>
      <c r="B1765" t="str">
        <f>"84148028      "</f>
        <v xml:space="preserve">84148028      </v>
      </c>
      <c r="C1765" t="s">
        <v>6092</v>
      </c>
      <c r="D1765" t="s">
        <v>6092</v>
      </c>
      <c r="E1765" t="s">
        <v>6093</v>
      </c>
      <c r="F1765" t="s">
        <v>6094</v>
      </c>
    </row>
    <row r="1766" spans="1:6" x14ac:dyDescent="0.25">
      <c r="A1766" t="s">
        <v>1679</v>
      </c>
      <c r="B1766" t="str">
        <f>"84148051      "</f>
        <v xml:space="preserve">84148051      </v>
      </c>
      <c r="C1766" t="s">
        <v>6095</v>
      </c>
      <c r="D1766" t="s">
        <v>6095</v>
      </c>
      <c r="E1766" t="s">
        <v>6096</v>
      </c>
      <c r="F1766" t="s">
        <v>6097</v>
      </c>
    </row>
    <row r="1767" spans="1:6" x14ac:dyDescent="0.25">
      <c r="A1767" t="s">
        <v>1679</v>
      </c>
      <c r="B1767" t="str">
        <f>"84148059      "</f>
        <v xml:space="preserve">84148059      </v>
      </c>
      <c r="C1767" t="s">
        <v>6098</v>
      </c>
      <c r="D1767" t="s">
        <v>6098</v>
      </c>
      <c r="E1767" t="s">
        <v>6099</v>
      </c>
      <c r="F1767" t="s">
        <v>6100</v>
      </c>
    </row>
    <row r="1768" spans="1:6" x14ac:dyDescent="0.25">
      <c r="A1768" t="s">
        <v>1679</v>
      </c>
      <c r="B1768" t="str">
        <f>"84148073      "</f>
        <v xml:space="preserve">84148073      </v>
      </c>
      <c r="C1768" t="s">
        <v>6101</v>
      </c>
      <c r="D1768" t="s">
        <v>6101</v>
      </c>
      <c r="E1768" t="s">
        <v>6102</v>
      </c>
      <c r="F1768" t="s">
        <v>6103</v>
      </c>
    </row>
    <row r="1769" spans="1:6" x14ac:dyDescent="0.25">
      <c r="A1769" t="s">
        <v>1679</v>
      </c>
      <c r="B1769" t="str">
        <f>"84148075      "</f>
        <v xml:space="preserve">84148075      </v>
      </c>
      <c r="C1769" t="s">
        <v>6104</v>
      </c>
      <c r="D1769" t="s">
        <v>6104</v>
      </c>
      <c r="E1769" t="s">
        <v>6105</v>
      </c>
      <c r="F1769" t="s">
        <v>6106</v>
      </c>
    </row>
    <row r="1770" spans="1:6" x14ac:dyDescent="0.25">
      <c r="A1770" t="s">
        <v>1679</v>
      </c>
      <c r="B1770" t="str">
        <f>"84148078      "</f>
        <v xml:space="preserve">84148078      </v>
      </c>
      <c r="C1770" t="s">
        <v>4175</v>
      </c>
      <c r="D1770" t="s">
        <v>4175</v>
      </c>
      <c r="E1770" t="s">
        <v>6107</v>
      </c>
      <c r="F1770" t="s">
        <v>6108</v>
      </c>
    </row>
    <row r="1771" spans="1:6" x14ac:dyDescent="0.25">
      <c r="A1771" t="s">
        <v>1679</v>
      </c>
      <c r="B1771" t="str">
        <f>"84148080      "</f>
        <v xml:space="preserve">84148080      </v>
      </c>
      <c r="C1771" t="s">
        <v>4175</v>
      </c>
      <c r="D1771" t="s">
        <v>4175</v>
      </c>
      <c r="E1771" t="s">
        <v>6109</v>
      </c>
      <c r="F1771" t="s">
        <v>6110</v>
      </c>
    </row>
    <row r="1772" spans="1:6" x14ac:dyDescent="0.25">
      <c r="A1772" t="s">
        <v>1679</v>
      </c>
      <c r="B1772" t="str">
        <f>"84149000      "</f>
        <v xml:space="preserve">84149000      </v>
      </c>
      <c r="C1772" t="s">
        <v>6111</v>
      </c>
      <c r="D1772" t="s">
        <v>6111</v>
      </c>
      <c r="E1772" t="s">
        <v>6112</v>
      </c>
      <c r="F1772" t="s">
        <v>6113</v>
      </c>
    </row>
    <row r="1773" spans="1:6" x14ac:dyDescent="0.25">
      <c r="A1773" t="s">
        <v>1679</v>
      </c>
      <c r="B1773" t="str">
        <f>"84181020      "</f>
        <v xml:space="preserve">84181020      </v>
      </c>
      <c r="C1773" t="s">
        <v>6114</v>
      </c>
      <c r="D1773" t="s">
        <v>6114</v>
      </c>
      <c r="E1773" t="s">
        <v>6115</v>
      </c>
      <c r="F1773" t="s">
        <v>6116</v>
      </c>
    </row>
    <row r="1774" spans="1:6" x14ac:dyDescent="0.25">
      <c r="A1774" t="s">
        <v>1679</v>
      </c>
      <c r="B1774" t="str">
        <f>"84181080      "</f>
        <v xml:space="preserve">84181080      </v>
      </c>
      <c r="C1774" t="s">
        <v>4175</v>
      </c>
      <c r="D1774" t="s">
        <v>4175</v>
      </c>
      <c r="E1774" t="s">
        <v>6117</v>
      </c>
      <c r="F1774" t="s">
        <v>6118</v>
      </c>
    </row>
    <row r="1775" spans="1:6" x14ac:dyDescent="0.25">
      <c r="A1775" t="s">
        <v>1679</v>
      </c>
      <c r="B1775" t="str">
        <f>"84381010      "</f>
        <v xml:space="preserve">84381010      </v>
      </c>
      <c r="C1775" t="s">
        <v>6119</v>
      </c>
      <c r="D1775" t="s">
        <v>6119</v>
      </c>
      <c r="E1775" t="s">
        <v>6120</v>
      </c>
      <c r="F1775" t="s">
        <v>6121</v>
      </c>
    </row>
    <row r="1776" spans="1:6" x14ac:dyDescent="0.25">
      <c r="A1776" t="s">
        <v>1679</v>
      </c>
      <c r="B1776" t="str">
        <f>"84381090      "</f>
        <v xml:space="preserve">84381090      </v>
      </c>
      <c r="C1776" t="s">
        <v>6122</v>
      </c>
      <c r="D1776" t="s">
        <v>6122</v>
      </c>
      <c r="E1776" t="s">
        <v>6123</v>
      </c>
      <c r="F1776" t="s">
        <v>6124</v>
      </c>
    </row>
    <row r="1777" spans="1:6" x14ac:dyDescent="0.25">
      <c r="A1777" t="s">
        <v>1679</v>
      </c>
      <c r="B1777" t="str">
        <f>"84382000      "</f>
        <v xml:space="preserve">84382000      </v>
      </c>
      <c r="C1777" t="s">
        <v>6125</v>
      </c>
      <c r="D1777" t="s">
        <v>6125</v>
      </c>
      <c r="E1777" t="s">
        <v>6126</v>
      </c>
      <c r="F1777" t="s">
        <v>6127</v>
      </c>
    </row>
    <row r="1778" spans="1:6" x14ac:dyDescent="0.25">
      <c r="A1778" t="s">
        <v>1679</v>
      </c>
      <c r="B1778" t="str">
        <f>"84383000      "</f>
        <v xml:space="preserve">84383000      </v>
      </c>
      <c r="C1778" t="s">
        <v>6128</v>
      </c>
      <c r="D1778" t="s">
        <v>6128</v>
      </c>
      <c r="E1778" t="s">
        <v>6129</v>
      </c>
      <c r="F1778" t="s">
        <v>6130</v>
      </c>
    </row>
    <row r="1779" spans="1:6" x14ac:dyDescent="0.25">
      <c r="A1779" t="s">
        <v>1679</v>
      </c>
      <c r="B1779" t="str">
        <f>"84384000      "</f>
        <v xml:space="preserve">84384000      </v>
      </c>
      <c r="C1779" t="s">
        <v>6131</v>
      </c>
      <c r="D1779" t="s">
        <v>6131</v>
      </c>
      <c r="E1779" t="s">
        <v>6132</v>
      </c>
      <c r="F1779" t="s">
        <v>6133</v>
      </c>
    </row>
    <row r="1780" spans="1:6" x14ac:dyDescent="0.25">
      <c r="A1780" t="s">
        <v>1679</v>
      </c>
      <c r="B1780" t="str">
        <f>"84385000      "</f>
        <v xml:space="preserve">84385000      </v>
      </c>
      <c r="C1780" t="s">
        <v>6134</v>
      </c>
      <c r="D1780" t="s">
        <v>6134</v>
      </c>
      <c r="E1780" t="s">
        <v>6135</v>
      </c>
      <c r="F1780" t="s">
        <v>6136</v>
      </c>
    </row>
    <row r="1781" spans="1:6" x14ac:dyDescent="0.25">
      <c r="A1781" t="s">
        <v>1679</v>
      </c>
      <c r="B1781" t="str">
        <f>"84386000      "</f>
        <v xml:space="preserve">84386000      </v>
      </c>
      <c r="C1781" t="s">
        <v>6137</v>
      </c>
      <c r="D1781" t="s">
        <v>6137</v>
      </c>
      <c r="E1781" t="s">
        <v>6138</v>
      </c>
      <c r="F1781" t="s">
        <v>6139</v>
      </c>
    </row>
    <row r="1782" spans="1:6" x14ac:dyDescent="0.25">
      <c r="A1782" t="s">
        <v>1679</v>
      </c>
      <c r="B1782" t="str">
        <f>"84388010      "</f>
        <v xml:space="preserve">84388010      </v>
      </c>
      <c r="C1782" t="s">
        <v>6140</v>
      </c>
      <c r="D1782" t="s">
        <v>6140</v>
      </c>
      <c r="E1782" t="s">
        <v>6141</v>
      </c>
      <c r="F1782" t="s">
        <v>6142</v>
      </c>
    </row>
    <row r="1783" spans="1:6" x14ac:dyDescent="0.25">
      <c r="A1783" t="s">
        <v>1679</v>
      </c>
      <c r="B1783" t="str">
        <f>"84388091      "</f>
        <v xml:space="preserve">84388091      </v>
      </c>
      <c r="C1783" t="s">
        <v>6143</v>
      </c>
      <c r="D1783" t="s">
        <v>6143</v>
      </c>
      <c r="E1783" t="s">
        <v>6144</v>
      </c>
      <c r="F1783" t="s">
        <v>6145</v>
      </c>
    </row>
    <row r="1784" spans="1:6" x14ac:dyDescent="0.25">
      <c r="A1784" t="s">
        <v>1679</v>
      </c>
      <c r="B1784" t="str">
        <f>"84388099      "</f>
        <v xml:space="preserve">84388099      </v>
      </c>
      <c r="C1784" t="s">
        <v>4175</v>
      </c>
      <c r="D1784" t="s">
        <v>4175</v>
      </c>
      <c r="E1784" t="s">
        <v>6146</v>
      </c>
      <c r="F1784" t="s">
        <v>6147</v>
      </c>
    </row>
    <row r="1785" spans="1:6" x14ac:dyDescent="0.25">
      <c r="A1785" t="s">
        <v>1679</v>
      </c>
      <c r="B1785" t="str">
        <f>"84389000      "</f>
        <v xml:space="preserve">84389000      </v>
      </c>
      <c r="C1785" t="s">
        <v>6111</v>
      </c>
      <c r="D1785" t="s">
        <v>6111</v>
      </c>
      <c r="E1785" t="s">
        <v>6148</v>
      </c>
      <c r="F1785" t="s">
        <v>6149</v>
      </c>
    </row>
    <row r="1786" spans="1:6" x14ac:dyDescent="0.25">
      <c r="A1786" t="s">
        <v>1679</v>
      </c>
      <c r="B1786" t="str">
        <f>"84622910      "</f>
        <v xml:space="preserve">84622910      </v>
      </c>
      <c r="C1786" t="s">
        <v>6150</v>
      </c>
      <c r="D1786" t="s">
        <v>6151</v>
      </c>
      <c r="E1786" t="s">
        <v>6152</v>
      </c>
      <c r="F1786" t="s">
        <v>6153</v>
      </c>
    </row>
    <row r="1787" spans="1:6" x14ac:dyDescent="0.25">
      <c r="A1787" t="s">
        <v>1679</v>
      </c>
      <c r="B1787" t="str">
        <f>"84792000      "</f>
        <v xml:space="preserve">84792000      </v>
      </c>
      <c r="C1787" t="s">
        <v>6154</v>
      </c>
      <c r="D1787" t="s">
        <v>6155</v>
      </c>
      <c r="E1787" t="s">
        <v>6156</v>
      </c>
      <c r="F1787" t="s">
        <v>6157</v>
      </c>
    </row>
    <row r="1788" spans="1:6" x14ac:dyDescent="0.25">
      <c r="A1788" t="s">
        <v>1679</v>
      </c>
      <c r="B1788" t="str">
        <f>"84824000      "</f>
        <v xml:space="preserve">84824000      </v>
      </c>
      <c r="C1788" t="s">
        <v>6158</v>
      </c>
      <c r="D1788" t="s">
        <v>6159</v>
      </c>
      <c r="E1788" t="s">
        <v>6160</v>
      </c>
      <c r="F1788" t="s">
        <v>6161</v>
      </c>
    </row>
    <row r="1789" spans="1:6" x14ac:dyDescent="0.25">
      <c r="A1789" t="s">
        <v>1679</v>
      </c>
      <c r="B1789" t="str">
        <f>"84825000      "</f>
        <v xml:space="preserve">84825000      </v>
      </c>
      <c r="C1789" t="s">
        <v>6162</v>
      </c>
      <c r="D1789" t="s">
        <v>6163</v>
      </c>
      <c r="E1789" t="s">
        <v>6164</v>
      </c>
      <c r="F1789" t="s">
        <v>6165</v>
      </c>
    </row>
    <row r="1790" spans="1:6" x14ac:dyDescent="0.25">
      <c r="A1790" t="s">
        <v>1679</v>
      </c>
      <c r="B1790" t="str">
        <f>"84861000      "</f>
        <v xml:space="preserve">84861000      </v>
      </c>
      <c r="C1790" t="s">
        <v>6166</v>
      </c>
      <c r="D1790" t="s">
        <v>6166</v>
      </c>
      <c r="E1790" t="s">
        <v>6167</v>
      </c>
      <c r="F1790" t="s">
        <v>6168</v>
      </c>
    </row>
    <row r="1791" spans="1:6" x14ac:dyDescent="0.25">
      <c r="A1791" t="s">
        <v>1679</v>
      </c>
      <c r="B1791" t="str">
        <f>"84862000      "</f>
        <v xml:space="preserve">84862000      </v>
      </c>
      <c r="C1791" t="s">
        <v>6169</v>
      </c>
      <c r="D1791" t="s">
        <v>6169</v>
      </c>
      <c r="E1791" t="s">
        <v>6170</v>
      </c>
      <c r="F1791" t="s">
        <v>6171</v>
      </c>
    </row>
    <row r="1792" spans="1:6" x14ac:dyDescent="0.25">
      <c r="A1792" t="s">
        <v>1679</v>
      </c>
      <c r="B1792" t="str">
        <f>"84863000      "</f>
        <v xml:space="preserve">84863000      </v>
      </c>
      <c r="C1792" t="s">
        <v>6172</v>
      </c>
      <c r="D1792" t="s">
        <v>6172</v>
      </c>
      <c r="E1792" t="s">
        <v>6173</v>
      </c>
      <c r="F1792" t="s">
        <v>6174</v>
      </c>
    </row>
    <row r="1793" spans="1:6" x14ac:dyDescent="0.25">
      <c r="A1793" t="s">
        <v>1679</v>
      </c>
      <c r="B1793" t="str">
        <f>"84864000      "</f>
        <v xml:space="preserve">84864000      </v>
      </c>
      <c r="C1793" t="s">
        <v>6175</v>
      </c>
      <c r="D1793" t="s">
        <v>6176</v>
      </c>
      <c r="E1793" t="s">
        <v>6177</v>
      </c>
      <c r="F1793" t="s">
        <v>6178</v>
      </c>
    </row>
    <row r="1794" spans="1:6" x14ac:dyDescent="0.25">
      <c r="A1794" t="s">
        <v>1679</v>
      </c>
      <c r="B1794" t="str">
        <f>"84869000      "</f>
        <v xml:space="preserve">84869000      </v>
      </c>
      <c r="C1794" t="s">
        <v>6179</v>
      </c>
      <c r="D1794" t="s">
        <v>6179</v>
      </c>
      <c r="E1794" t="s">
        <v>6180</v>
      </c>
      <c r="F1794" t="s">
        <v>6181</v>
      </c>
    </row>
    <row r="1795" spans="1:6" x14ac:dyDescent="0.25">
      <c r="A1795" t="s">
        <v>1679</v>
      </c>
      <c r="B1795" t="str">
        <f>"85013100      "</f>
        <v xml:space="preserve">85013100      </v>
      </c>
      <c r="C1795" t="s">
        <v>6182</v>
      </c>
      <c r="D1795" t="s">
        <v>6182</v>
      </c>
      <c r="E1795" t="s">
        <v>6183</v>
      </c>
      <c r="F1795" t="s">
        <v>6184</v>
      </c>
    </row>
    <row r="1796" spans="1:6" x14ac:dyDescent="0.25">
      <c r="A1796" t="s">
        <v>1679</v>
      </c>
      <c r="B1796" t="str">
        <f>"85013200      "</f>
        <v xml:space="preserve">85013200      </v>
      </c>
      <c r="C1796" t="s">
        <v>6185</v>
      </c>
      <c r="D1796" t="s">
        <v>6185</v>
      </c>
      <c r="E1796" t="s">
        <v>6186</v>
      </c>
      <c r="F1796" t="s">
        <v>6187</v>
      </c>
    </row>
    <row r="1797" spans="1:6" x14ac:dyDescent="0.25">
      <c r="A1797" t="s">
        <v>1679</v>
      </c>
      <c r="B1797" t="str">
        <f>"85013300      "</f>
        <v xml:space="preserve">85013300      </v>
      </c>
      <c r="C1797" t="s">
        <v>6188</v>
      </c>
      <c r="D1797" t="s">
        <v>6188</v>
      </c>
      <c r="E1797" t="s">
        <v>6189</v>
      </c>
      <c r="F1797" t="s">
        <v>6190</v>
      </c>
    </row>
    <row r="1798" spans="1:6" x14ac:dyDescent="0.25">
      <c r="A1798" t="s">
        <v>1679</v>
      </c>
      <c r="B1798" t="str">
        <f>"85013400      "</f>
        <v xml:space="preserve">85013400      </v>
      </c>
      <c r="C1798" t="s">
        <v>6191</v>
      </c>
      <c r="D1798" t="s">
        <v>6191</v>
      </c>
      <c r="E1798" t="s">
        <v>6192</v>
      </c>
      <c r="F1798" t="s">
        <v>6193</v>
      </c>
    </row>
    <row r="1799" spans="1:6" x14ac:dyDescent="0.25">
      <c r="A1799" t="s">
        <v>1679</v>
      </c>
      <c r="B1799" t="str">
        <f>"85016120      "</f>
        <v xml:space="preserve">85016120      </v>
      </c>
      <c r="C1799" t="s">
        <v>6194</v>
      </c>
      <c r="D1799" t="s">
        <v>6194</v>
      </c>
      <c r="E1799" t="s">
        <v>6195</v>
      </c>
      <c r="F1799" t="s">
        <v>6196</v>
      </c>
    </row>
    <row r="1800" spans="1:6" x14ac:dyDescent="0.25">
      <c r="A1800" t="s">
        <v>1679</v>
      </c>
      <c r="B1800" t="str">
        <f>"85016180      "</f>
        <v xml:space="preserve">85016180      </v>
      </c>
      <c r="C1800" t="s">
        <v>6197</v>
      </c>
      <c r="D1800" t="s">
        <v>6197</v>
      </c>
      <c r="E1800" t="s">
        <v>6198</v>
      </c>
      <c r="F1800" t="s">
        <v>6199</v>
      </c>
    </row>
    <row r="1801" spans="1:6" x14ac:dyDescent="0.25">
      <c r="A1801" t="s">
        <v>1679</v>
      </c>
      <c r="B1801" t="str">
        <f>"85016200      "</f>
        <v xml:space="preserve">85016200      </v>
      </c>
      <c r="C1801" t="s">
        <v>6200</v>
      </c>
      <c r="D1801" t="s">
        <v>6200</v>
      </c>
      <c r="E1801" t="s">
        <v>6201</v>
      </c>
      <c r="F1801" t="s">
        <v>6202</v>
      </c>
    </row>
    <row r="1802" spans="1:6" x14ac:dyDescent="0.25">
      <c r="A1802" t="s">
        <v>1679</v>
      </c>
      <c r="B1802" t="str">
        <f>"85016300      "</f>
        <v xml:space="preserve">85016300      </v>
      </c>
      <c r="C1802" t="s">
        <v>6203</v>
      </c>
      <c r="D1802" t="s">
        <v>6203</v>
      </c>
      <c r="E1802" t="s">
        <v>6204</v>
      </c>
      <c r="F1802" t="s">
        <v>6205</v>
      </c>
    </row>
    <row r="1803" spans="1:6" x14ac:dyDescent="0.25">
      <c r="A1803" t="s">
        <v>1679</v>
      </c>
      <c r="B1803" t="str">
        <f>"85016400      "</f>
        <v xml:space="preserve">85016400      </v>
      </c>
      <c r="C1803" t="s">
        <v>6206</v>
      </c>
      <c r="D1803" t="s">
        <v>6206</v>
      </c>
      <c r="E1803" t="s">
        <v>6207</v>
      </c>
      <c r="F1803" t="s">
        <v>6208</v>
      </c>
    </row>
    <row r="1804" spans="1:6" x14ac:dyDescent="0.25">
      <c r="A1804" t="s">
        <v>1679</v>
      </c>
      <c r="B1804" t="str">
        <f>"85131000      "</f>
        <v xml:space="preserve">85131000      </v>
      </c>
      <c r="C1804" t="s">
        <v>6209</v>
      </c>
      <c r="D1804" t="s">
        <v>6209</v>
      </c>
      <c r="E1804" t="s">
        <v>6210</v>
      </c>
      <c r="F1804" t="s">
        <v>6211</v>
      </c>
    </row>
    <row r="1805" spans="1:6" x14ac:dyDescent="0.25">
      <c r="A1805" t="s">
        <v>1679</v>
      </c>
      <c r="B1805" t="str">
        <f>"85139000      "</f>
        <v xml:space="preserve">85139000      </v>
      </c>
      <c r="C1805" t="s">
        <v>6111</v>
      </c>
      <c r="D1805" t="s">
        <v>6111</v>
      </c>
      <c r="E1805" t="s">
        <v>6212</v>
      </c>
      <c r="F1805" t="s">
        <v>6213</v>
      </c>
    </row>
    <row r="1806" spans="1:6" x14ac:dyDescent="0.25">
      <c r="A1806" t="s">
        <v>1679</v>
      </c>
      <c r="B1806" t="str">
        <f>"85149030      "</f>
        <v xml:space="preserve">85149030      </v>
      </c>
      <c r="C1806" t="s">
        <v>6214</v>
      </c>
      <c r="D1806" t="s">
        <v>6215</v>
      </c>
      <c r="E1806" t="s">
        <v>6216</v>
      </c>
      <c r="F1806" t="s">
        <v>6217</v>
      </c>
    </row>
    <row r="1807" spans="1:6" x14ac:dyDescent="0.25">
      <c r="A1807" t="s">
        <v>1679</v>
      </c>
      <c r="B1807" t="str">
        <f>"85171100      "</f>
        <v xml:space="preserve">85171100      </v>
      </c>
      <c r="C1807" t="s">
        <v>6218</v>
      </c>
      <c r="D1807" t="s">
        <v>6218</v>
      </c>
      <c r="E1807" t="s">
        <v>6219</v>
      </c>
      <c r="F1807" t="s">
        <v>6220</v>
      </c>
    </row>
    <row r="1808" spans="1:6" x14ac:dyDescent="0.25">
      <c r="A1808" t="s">
        <v>1679</v>
      </c>
      <c r="B1808" t="str">
        <f>"85171800      "</f>
        <v xml:space="preserve">85171800      </v>
      </c>
      <c r="C1808" t="s">
        <v>4175</v>
      </c>
      <c r="D1808" t="s">
        <v>4175</v>
      </c>
      <c r="E1808" t="s">
        <v>6221</v>
      </c>
      <c r="F1808" t="s">
        <v>6222</v>
      </c>
    </row>
    <row r="1809" spans="1:6" x14ac:dyDescent="0.25">
      <c r="A1809" t="s">
        <v>1679</v>
      </c>
      <c r="B1809" t="str">
        <f>"85176100      "</f>
        <v xml:space="preserve">85176100      </v>
      </c>
      <c r="C1809" t="s">
        <v>6223</v>
      </c>
      <c r="D1809" t="s">
        <v>6223</v>
      </c>
      <c r="E1809" t="s">
        <v>6224</v>
      </c>
      <c r="F1809" t="s">
        <v>6225</v>
      </c>
    </row>
    <row r="1810" spans="1:6" x14ac:dyDescent="0.25">
      <c r="A1810" t="s">
        <v>1679</v>
      </c>
      <c r="B1810" t="str">
        <f>"85176200      "</f>
        <v xml:space="preserve">85176200      </v>
      </c>
      <c r="C1810" t="s">
        <v>6226</v>
      </c>
      <c r="D1810" t="s">
        <v>6226</v>
      </c>
      <c r="E1810" t="s">
        <v>6227</v>
      </c>
      <c r="F1810" t="s">
        <v>6228</v>
      </c>
    </row>
    <row r="1811" spans="1:6" x14ac:dyDescent="0.25">
      <c r="A1811" t="s">
        <v>1679</v>
      </c>
      <c r="B1811" t="str">
        <f>"85176910      "</f>
        <v xml:space="preserve">85176910      </v>
      </c>
      <c r="C1811" t="s">
        <v>6229</v>
      </c>
      <c r="D1811" t="s">
        <v>6229</v>
      </c>
      <c r="E1811" t="s">
        <v>6230</v>
      </c>
      <c r="F1811" t="s">
        <v>6231</v>
      </c>
    </row>
    <row r="1812" spans="1:6" x14ac:dyDescent="0.25">
      <c r="A1812" t="s">
        <v>1679</v>
      </c>
      <c r="B1812" t="str">
        <f>"85176920      "</f>
        <v xml:space="preserve">85176920      </v>
      </c>
      <c r="C1812" t="s">
        <v>6232</v>
      </c>
      <c r="D1812" t="s">
        <v>6232</v>
      </c>
      <c r="E1812" t="s">
        <v>6233</v>
      </c>
      <c r="F1812" t="s">
        <v>6234</v>
      </c>
    </row>
    <row r="1813" spans="1:6" x14ac:dyDescent="0.25">
      <c r="A1813" t="s">
        <v>1679</v>
      </c>
      <c r="B1813" t="str">
        <f>"85176930      "</f>
        <v xml:space="preserve">85176930      </v>
      </c>
      <c r="C1813" t="s">
        <v>6235</v>
      </c>
      <c r="D1813" t="s">
        <v>6235</v>
      </c>
      <c r="E1813" t="s">
        <v>6236</v>
      </c>
      <c r="F1813" t="s">
        <v>6237</v>
      </c>
    </row>
    <row r="1814" spans="1:6" x14ac:dyDescent="0.25">
      <c r="A1814" t="s">
        <v>1679</v>
      </c>
      <c r="B1814" t="str">
        <f>"85176990      "</f>
        <v xml:space="preserve">85176990      </v>
      </c>
      <c r="C1814" t="s">
        <v>4175</v>
      </c>
      <c r="D1814" t="s">
        <v>4175</v>
      </c>
      <c r="E1814" t="s">
        <v>6238</v>
      </c>
      <c r="F1814" t="s">
        <v>6239</v>
      </c>
    </row>
    <row r="1815" spans="1:6" x14ac:dyDescent="0.25">
      <c r="A1815" t="s">
        <v>1679</v>
      </c>
      <c r="B1815" t="str">
        <f>"85291011      "</f>
        <v xml:space="preserve">85291011      </v>
      </c>
      <c r="C1815" t="s">
        <v>6240</v>
      </c>
      <c r="D1815" t="s">
        <v>6240</v>
      </c>
      <c r="E1815" t="s">
        <v>6241</v>
      </c>
      <c r="F1815" t="s">
        <v>6242</v>
      </c>
    </row>
    <row r="1816" spans="1:6" x14ac:dyDescent="0.25">
      <c r="A1816" t="s">
        <v>1679</v>
      </c>
      <c r="B1816" t="str">
        <f>"85291030      "</f>
        <v xml:space="preserve">85291030      </v>
      </c>
      <c r="C1816" t="s">
        <v>6243</v>
      </c>
      <c r="D1816" t="s">
        <v>6243</v>
      </c>
      <c r="E1816" t="s">
        <v>6244</v>
      </c>
      <c r="F1816" t="s">
        <v>6245</v>
      </c>
    </row>
    <row r="1817" spans="1:6" x14ac:dyDescent="0.25">
      <c r="A1817" t="s">
        <v>1679</v>
      </c>
      <c r="B1817" t="str">
        <f>"85291065      "</f>
        <v xml:space="preserve">85291065      </v>
      </c>
      <c r="C1817" t="s">
        <v>6246</v>
      </c>
      <c r="D1817" t="s">
        <v>6246</v>
      </c>
      <c r="E1817" t="s">
        <v>6247</v>
      </c>
      <c r="F1817" t="s">
        <v>6248</v>
      </c>
    </row>
    <row r="1818" spans="1:6" x14ac:dyDescent="0.25">
      <c r="A1818" t="s">
        <v>1679</v>
      </c>
      <c r="B1818" t="str">
        <f>"85291069      "</f>
        <v xml:space="preserve">85291069      </v>
      </c>
      <c r="C1818" t="s">
        <v>4175</v>
      </c>
      <c r="D1818" t="s">
        <v>4175</v>
      </c>
      <c r="E1818" t="s">
        <v>6249</v>
      </c>
      <c r="F1818" t="s">
        <v>6250</v>
      </c>
    </row>
    <row r="1819" spans="1:6" x14ac:dyDescent="0.25">
      <c r="A1819" t="s">
        <v>1679</v>
      </c>
      <c r="B1819" t="str">
        <f>"85291080      "</f>
        <v xml:space="preserve">85291080      </v>
      </c>
      <c r="C1819" t="s">
        <v>6251</v>
      </c>
      <c r="D1819" t="s">
        <v>6251</v>
      </c>
      <c r="E1819" t="s">
        <v>6252</v>
      </c>
      <c r="F1819" t="s">
        <v>6253</v>
      </c>
    </row>
    <row r="1820" spans="1:6" x14ac:dyDescent="0.25">
      <c r="A1820" t="s">
        <v>1679</v>
      </c>
      <c r="B1820" t="str">
        <f>"85291095      "</f>
        <v xml:space="preserve">85291095      </v>
      </c>
      <c r="C1820" t="s">
        <v>4175</v>
      </c>
      <c r="D1820" t="s">
        <v>4175</v>
      </c>
      <c r="E1820" t="s">
        <v>6254</v>
      </c>
      <c r="F1820" t="s">
        <v>6255</v>
      </c>
    </row>
    <row r="1821" spans="1:6" x14ac:dyDescent="0.25">
      <c r="A1821" t="s">
        <v>1679</v>
      </c>
      <c r="B1821" t="str">
        <f>"85299015      "</f>
        <v xml:space="preserve">85299015      </v>
      </c>
      <c r="C1821" t="s">
        <v>6256</v>
      </c>
      <c r="D1821" t="s">
        <v>6256</v>
      </c>
      <c r="E1821" t="s">
        <v>6257</v>
      </c>
      <c r="F1821" t="s">
        <v>6258</v>
      </c>
    </row>
    <row r="1822" spans="1:6" x14ac:dyDescent="0.25">
      <c r="A1822" t="s">
        <v>1679</v>
      </c>
      <c r="B1822" t="str">
        <f>"85299020      "</f>
        <v xml:space="preserve">85299020      </v>
      </c>
      <c r="C1822" t="s">
        <v>6259</v>
      </c>
      <c r="D1822" t="s">
        <v>6260</v>
      </c>
      <c r="E1822" t="s">
        <v>6261</v>
      </c>
      <c r="F1822" t="s">
        <v>6262</v>
      </c>
    </row>
    <row r="1823" spans="1:6" x14ac:dyDescent="0.25">
      <c r="A1823" t="s">
        <v>1679</v>
      </c>
      <c r="B1823" t="str">
        <f>"85299065      "</f>
        <v xml:space="preserve">85299065      </v>
      </c>
      <c r="C1823" t="s">
        <v>6263</v>
      </c>
      <c r="D1823" t="s">
        <v>6263</v>
      </c>
      <c r="E1823" t="s">
        <v>6264</v>
      </c>
      <c r="F1823" t="s">
        <v>6265</v>
      </c>
    </row>
    <row r="1824" spans="1:6" x14ac:dyDescent="0.25">
      <c r="A1824" t="s">
        <v>1679</v>
      </c>
      <c r="B1824" t="str">
        <f>"85299091      "</f>
        <v xml:space="preserve">85299091      </v>
      </c>
      <c r="C1824" t="s">
        <v>6266</v>
      </c>
      <c r="D1824" t="s">
        <v>6266</v>
      </c>
      <c r="E1824" t="s">
        <v>6267</v>
      </c>
      <c r="F1824" t="s">
        <v>6268</v>
      </c>
    </row>
    <row r="1825" spans="1:6" x14ac:dyDescent="0.25">
      <c r="A1825" t="s">
        <v>1679</v>
      </c>
      <c r="B1825" t="str">
        <f>"85299092      "</f>
        <v xml:space="preserve">85299092      </v>
      </c>
      <c r="C1825" t="s">
        <v>6269</v>
      </c>
      <c r="D1825" t="s">
        <v>6270</v>
      </c>
      <c r="E1825" t="s">
        <v>6271</v>
      </c>
      <c r="F1825" t="s">
        <v>6272</v>
      </c>
    </row>
    <row r="1826" spans="1:6" x14ac:dyDescent="0.25">
      <c r="A1826" t="s">
        <v>1679</v>
      </c>
      <c r="B1826" t="str">
        <f>"85299097      "</f>
        <v xml:space="preserve">85299097      </v>
      </c>
      <c r="C1826" t="s">
        <v>4175</v>
      </c>
      <c r="D1826" t="s">
        <v>4175</v>
      </c>
      <c r="E1826" t="s">
        <v>6273</v>
      </c>
      <c r="F1826" t="s">
        <v>6274</v>
      </c>
    </row>
    <row r="1827" spans="1:6" x14ac:dyDescent="0.25">
      <c r="A1827" t="s">
        <v>1679</v>
      </c>
      <c r="B1827" t="str">
        <f>"85391000      "</f>
        <v xml:space="preserve">85391000      </v>
      </c>
      <c r="C1827" t="s">
        <v>6275</v>
      </c>
      <c r="D1827" t="s">
        <v>6275</v>
      </c>
      <c r="E1827" t="s">
        <v>6276</v>
      </c>
      <c r="F1827" t="s">
        <v>6277</v>
      </c>
    </row>
    <row r="1828" spans="1:6" x14ac:dyDescent="0.25">
      <c r="A1828" t="s">
        <v>1679</v>
      </c>
      <c r="B1828" t="str">
        <f>"85392130      "</f>
        <v xml:space="preserve">85392130      </v>
      </c>
      <c r="C1828" t="s">
        <v>6278</v>
      </c>
      <c r="D1828" t="s">
        <v>6278</v>
      </c>
      <c r="E1828" t="s">
        <v>6279</v>
      </c>
      <c r="F1828" t="s">
        <v>6280</v>
      </c>
    </row>
    <row r="1829" spans="1:6" x14ac:dyDescent="0.25">
      <c r="A1829" t="s">
        <v>1679</v>
      </c>
      <c r="B1829" t="str">
        <f>"85392192      "</f>
        <v xml:space="preserve">85392192      </v>
      </c>
      <c r="C1829" t="s">
        <v>6281</v>
      </c>
      <c r="D1829" t="s">
        <v>6281</v>
      </c>
      <c r="E1829" t="s">
        <v>6282</v>
      </c>
      <c r="F1829" t="s">
        <v>6283</v>
      </c>
    </row>
    <row r="1830" spans="1:6" x14ac:dyDescent="0.25">
      <c r="A1830" t="s">
        <v>1679</v>
      </c>
      <c r="B1830" t="str">
        <f>"85392198      "</f>
        <v xml:space="preserve">85392198      </v>
      </c>
      <c r="C1830" t="s">
        <v>6284</v>
      </c>
      <c r="D1830" t="s">
        <v>6284</v>
      </c>
      <c r="E1830" t="s">
        <v>6285</v>
      </c>
      <c r="F1830" t="s">
        <v>6286</v>
      </c>
    </row>
    <row r="1831" spans="1:6" x14ac:dyDescent="0.25">
      <c r="A1831" t="s">
        <v>1679</v>
      </c>
      <c r="B1831" t="str">
        <f>"85392210      "</f>
        <v xml:space="preserve">85392210      </v>
      </c>
      <c r="C1831" t="s">
        <v>6287</v>
      </c>
      <c r="D1831" t="s">
        <v>6287</v>
      </c>
      <c r="E1831" t="s">
        <v>6288</v>
      </c>
      <c r="F1831" t="s">
        <v>6289</v>
      </c>
    </row>
    <row r="1832" spans="1:6" x14ac:dyDescent="0.25">
      <c r="A1832" t="s">
        <v>1679</v>
      </c>
      <c r="B1832" t="str">
        <f>"85392290      "</f>
        <v xml:space="preserve">85392290      </v>
      </c>
      <c r="C1832" t="s">
        <v>4175</v>
      </c>
      <c r="D1832" t="s">
        <v>4175</v>
      </c>
      <c r="E1832" t="s">
        <v>6290</v>
      </c>
      <c r="F1832" t="s">
        <v>6291</v>
      </c>
    </row>
    <row r="1833" spans="1:6" x14ac:dyDescent="0.25">
      <c r="A1833" t="s">
        <v>1679</v>
      </c>
      <c r="B1833" t="str">
        <f>"85392930      "</f>
        <v xml:space="preserve">85392930      </v>
      </c>
      <c r="C1833" t="s">
        <v>6278</v>
      </c>
      <c r="D1833" t="s">
        <v>6278</v>
      </c>
      <c r="E1833" t="s">
        <v>6292</v>
      </c>
      <c r="F1833" t="s">
        <v>6293</v>
      </c>
    </row>
    <row r="1834" spans="1:6" x14ac:dyDescent="0.25">
      <c r="A1834" t="s">
        <v>1679</v>
      </c>
      <c r="B1834" t="str">
        <f>"85392992      "</f>
        <v xml:space="preserve">85392992      </v>
      </c>
      <c r="C1834" t="s">
        <v>6281</v>
      </c>
      <c r="D1834" t="s">
        <v>6281</v>
      </c>
      <c r="E1834" t="s">
        <v>6294</v>
      </c>
      <c r="F1834" t="s">
        <v>6295</v>
      </c>
    </row>
    <row r="1835" spans="1:6" x14ac:dyDescent="0.25">
      <c r="A1835" t="s">
        <v>1679</v>
      </c>
      <c r="B1835" t="str">
        <f>"85392998      "</f>
        <v xml:space="preserve">85392998      </v>
      </c>
      <c r="C1835" t="s">
        <v>6284</v>
      </c>
      <c r="D1835" t="s">
        <v>6284</v>
      </c>
      <c r="E1835" t="s">
        <v>6296</v>
      </c>
      <c r="F1835" t="s">
        <v>6297</v>
      </c>
    </row>
    <row r="1836" spans="1:6" x14ac:dyDescent="0.25">
      <c r="A1836" t="s">
        <v>1679</v>
      </c>
      <c r="B1836" t="str">
        <f>"85393110      "</f>
        <v xml:space="preserve">85393110      </v>
      </c>
      <c r="C1836" t="s">
        <v>6298</v>
      </c>
      <c r="D1836" t="s">
        <v>6298</v>
      </c>
      <c r="E1836" t="s">
        <v>6299</v>
      </c>
      <c r="F1836" t="s">
        <v>6300</v>
      </c>
    </row>
    <row r="1837" spans="1:6" x14ac:dyDescent="0.25">
      <c r="A1837" t="s">
        <v>1679</v>
      </c>
      <c r="B1837" t="str">
        <f>"85393190      "</f>
        <v xml:space="preserve">85393190      </v>
      </c>
      <c r="C1837" t="s">
        <v>4175</v>
      </c>
      <c r="D1837" t="s">
        <v>4175</v>
      </c>
      <c r="E1837" t="s">
        <v>6301</v>
      </c>
      <c r="F1837" t="s">
        <v>6302</v>
      </c>
    </row>
    <row r="1838" spans="1:6" x14ac:dyDescent="0.25">
      <c r="A1838" t="s">
        <v>1679</v>
      </c>
      <c r="B1838" t="str">
        <f>"85393220      "</f>
        <v xml:space="preserve">85393220      </v>
      </c>
      <c r="C1838" t="s">
        <v>6303</v>
      </c>
      <c r="D1838" t="s">
        <v>6303</v>
      </c>
      <c r="E1838" t="s">
        <v>6304</v>
      </c>
      <c r="F1838" t="s">
        <v>6305</v>
      </c>
    </row>
    <row r="1839" spans="1:6" x14ac:dyDescent="0.25">
      <c r="A1839" t="s">
        <v>1679</v>
      </c>
      <c r="B1839" t="str">
        <f>"85393290      "</f>
        <v xml:space="preserve">85393290      </v>
      </c>
      <c r="C1839" t="s">
        <v>6306</v>
      </c>
      <c r="D1839" t="s">
        <v>6306</v>
      </c>
      <c r="E1839" t="s">
        <v>6307</v>
      </c>
      <c r="F1839" t="s">
        <v>6308</v>
      </c>
    </row>
    <row r="1840" spans="1:6" x14ac:dyDescent="0.25">
      <c r="A1840" t="s">
        <v>1679</v>
      </c>
      <c r="B1840" t="str">
        <f>"85393920      "</f>
        <v xml:space="preserve">85393920      </v>
      </c>
      <c r="C1840" t="s">
        <v>6309</v>
      </c>
      <c r="D1840" t="s">
        <v>6309</v>
      </c>
      <c r="E1840" t="s">
        <v>6310</v>
      </c>
      <c r="F1840" t="s">
        <v>6311</v>
      </c>
    </row>
    <row r="1841" spans="1:6" x14ac:dyDescent="0.25">
      <c r="A1841" t="s">
        <v>1679</v>
      </c>
      <c r="B1841" t="str">
        <f>"85393980      "</f>
        <v xml:space="preserve">85393980      </v>
      </c>
      <c r="C1841" t="s">
        <v>4175</v>
      </c>
      <c r="D1841" t="s">
        <v>4175</v>
      </c>
      <c r="E1841" t="s">
        <v>6312</v>
      </c>
      <c r="F1841" t="s">
        <v>6313</v>
      </c>
    </row>
    <row r="1842" spans="1:6" x14ac:dyDescent="0.25">
      <c r="A1842" t="s">
        <v>1679</v>
      </c>
      <c r="B1842" t="str">
        <f>"85394100      "</f>
        <v xml:space="preserve">85394100      </v>
      </c>
      <c r="C1842" t="s">
        <v>6314</v>
      </c>
      <c r="D1842" t="s">
        <v>6314</v>
      </c>
      <c r="E1842" t="s">
        <v>6315</v>
      </c>
      <c r="F1842" t="s">
        <v>6316</v>
      </c>
    </row>
    <row r="1843" spans="1:6" x14ac:dyDescent="0.25">
      <c r="A1843" t="s">
        <v>1679</v>
      </c>
      <c r="B1843" t="str">
        <f>"85394900      "</f>
        <v xml:space="preserve">85394900      </v>
      </c>
      <c r="C1843" t="s">
        <v>4175</v>
      </c>
      <c r="D1843" t="s">
        <v>4175</v>
      </c>
      <c r="E1843" t="s">
        <v>6317</v>
      </c>
      <c r="F1843" t="s">
        <v>6318</v>
      </c>
    </row>
    <row r="1844" spans="1:6" x14ac:dyDescent="0.25">
      <c r="A1844" t="s">
        <v>1679</v>
      </c>
      <c r="B1844" t="str">
        <f>"85399010      "</f>
        <v xml:space="preserve">85399010      </v>
      </c>
      <c r="C1844" t="s">
        <v>6319</v>
      </c>
      <c r="D1844" t="s">
        <v>6319</v>
      </c>
      <c r="E1844" t="s">
        <v>6320</v>
      </c>
      <c r="F1844" t="s">
        <v>6321</v>
      </c>
    </row>
    <row r="1845" spans="1:6" x14ac:dyDescent="0.25">
      <c r="A1845" t="s">
        <v>1679</v>
      </c>
      <c r="B1845" t="str">
        <f>"85399090      "</f>
        <v xml:space="preserve">85399090      </v>
      </c>
      <c r="C1845" t="s">
        <v>4175</v>
      </c>
      <c r="D1845" t="s">
        <v>4175</v>
      </c>
      <c r="E1845" t="s">
        <v>6322</v>
      </c>
      <c r="F1845" t="s">
        <v>6323</v>
      </c>
    </row>
    <row r="1846" spans="1:6" x14ac:dyDescent="0.25">
      <c r="A1846" t="s">
        <v>1679</v>
      </c>
      <c r="B1846" t="str">
        <f>"85411000      "</f>
        <v xml:space="preserve">85411000      </v>
      </c>
      <c r="C1846" t="s">
        <v>6324</v>
      </c>
      <c r="D1846" t="s">
        <v>6324</v>
      </c>
      <c r="E1846" t="s">
        <v>6325</v>
      </c>
      <c r="F1846" t="s">
        <v>6326</v>
      </c>
    </row>
    <row r="1847" spans="1:6" x14ac:dyDescent="0.25">
      <c r="A1847" t="s">
        <v>1679</v>
      </c>
      <c r="B1847" t="str">
        <f>"85412100      "</f>
        <v xml:space="preserve">85412100      </v>
      </c>
      <c r="C1847" t="s">
        <v>6327</v>
      </c>
      <c r="D1847" t="s">
        <v>6327</v>
      </c>
      <c r="E1847" t="s">
        <v>6328</v>
      </c>
      <c r="F1847" t="s">
        <v>6329</v>
      </c>
    </row>
    <row r="1848" spans="1:6" x14ac:dyDescent="0.25">
      <c r="A1848" t="s">
        <v>1679</v>
      </c>
      <c r="B1848" t="str">
        <f>"85412900      "</f>
        <v xml:space="preserve">85412900      </v>
      </c>
      <c r="C1848" t="s">
        <v>4175</v>
      </c>
      <c r="D1848" t="s">
        <v>4175</v>
      </c>
      <c r="E1848" t="s">
        <v>6330</v>
      </c>
      <c r="F1848" t="s">
        <v>6331</v>
      </c>
    </row>
    <row r="1849" spans="1:6" x14ac:dyDescent="0.25">
      <c r="A1849" t="s">
        <v>1679</v>
      </c>
      <c r="B1849" t="str">
        <f>"85413000      "</f>
        <v xml:space="preserve">85413000      </v>
      </c>
      <c r="C1849" t="s">
        <v>6332</v>
      </c>
      <c r="D1849" t="s">
        <v>6332</v>
      </c>
      <c r="E1849" t="s">
        <v>6333</v>
      </c>
      <c r="F1849" t="s">
        <v>6334</v>
      </c>
    </row>
    <row r="1850" spans="1:6" x14ac:dyDescent="0.25">
      <c r="A1850" t="s">
        <v>1679</v>
      </c>
      <c r="B1850" t="str">
        <f>"85416000      "</f>
        <v xml:space="preserve">85416000      </v>
      </c>
      <c r="C1850" t="s">
        <v>6335</v>
      </c>
      <c r="D1850" t="s">
        <v>6335</v>
      </c>
      <c r="E1850" t="s">
        <v>6336</v>
      </c>
      <c r="F1850" t="s">
        <v>6337</v>
      </c>
    </row>
    <row r="1851" spans="1:6" x14ac:dyDescent="0.25">
      <c r="A1851" t="s">
        <v>1679</v>
      </c>
      <c r="B1851" t="str">
        <f>"85419000      "</f>
        <v xml:space="preserve">85419000      </v>
      </c>
      <c r="C1851" t="s">
        <v>6111</v>
      </c>
      <c r="D1851" t="s">
        <v>6111</v>
      </c>
      <c r="E1851" t="s">
        <v>6338</v>
      </c>
      <c r="F1851" t="s">
        <v>6339</v>
      </c>
    </row>
    <row r="1852" spans="1:6" x14ac:dyDescent="0.25">
      <c r="A1852" t="s">
        <v>1679</v>
      </c>
      <c r="B1852" t="str">
        <f>"85423111      "</f>
        <v xml:space="preserve">85423111      </v>
      </c>
      <c r="C1852" t="s">
        <v>6340</v>
      </c>
      <c r="D1852" t="s">
        <v>6340</v>
      </c>
      <c r="E1852" t="s">
        <v>6341</v>
      </c>
      <c r="F1852" t="s">
        <v>6342</v>
      </c>
    </row>
    <row r="1853" spans="1:6" x14ac:dyDescent="0.25">
      <c r="A1853" t="s">
        <v>1679</v>
      </c>
      <c r="B1853" t="str">
        <f>"85423119      "</f>
        <v xml:space="preserve">85423119      </v>
      </c>
      <c r="C1853" t="s">
        <v>4175</v>
      </c>
      <c r="D1853" t="s">
        <v>4175</v>
      </c>
      <c r="E1853" t="s">
        <v>6343</v>
      </c>
      <c r="F1853" t="s">
        <v>6344</v>
      </c>
    </row>
    <row r="1854" spans="1:6" x14ac:dyDescent="0.25">
      <c r="A1854" t="s">
        <v>1679</v>
      </c>
      <c r="B1854" t="str">
        <f>"85423211      "</f>
        <v xml:space="preserve">85423211      </v>
      </c>
      <c r="C1854" t="s">
        <v>6340</v>
      </c>
      <c r="D1854" t="s">
        <v>6340</v>
      </c>
      <c r="E1854" t="s">
        <v>6345</v>
      </c>
      <c r="F1854" t="s">
        <v>6346</v>
      </c>
    </row>
    <row r="1855" spans="1:6" x14ac:dyDescent="0.25">
      <c r="A1855" t="s">
        <v>1679</v>
      </c>
      <c r="B1855" t="str">
        <f>"85423219      "</f>
        <v xml:space="preserve">85423219      </v>
      </c>
      <c r="C1855" t="s">
        <v>4175</v>
      </c>
      <c r="D1855" t="s">
        <v>4175</v>
      </c>
      <c r="E1855" t="s">
        <v>6347</v>
      </c>
      <c r="F1855" t="s">
        <v>6348</v>
      </c>
    </row>
    <row r="1856" spans="1:6" x14ac:dyDescent="0.25">
      <c r="A1856" t="s">
        <v>1679</v>
      </c>
      <c r="B1856" t="str">
        <f>"85423911      "</f>
        <v xml:space="preserve">85423911      </v>
      </c>
      <c r="C1856" t="s">
        <v>6340</v>
      </c>
      <c r="D1856" t="s">
        <v>6340</v>
      </c>
      <c r="E1856" t="s">
        <v>6349</v>
      </c>
      <c r="F1856" t="s">
        <v>6350</v>
      </c>
    </row>
    <row r="1857" spans="1:6" x14ac:dyDescent="0.25">
      <c r="A1857" t="s">
        <v>1679</v>
      </c>
      <c r="B1857" t="str">
        <f>"85423919      "</f>
        <v xml:space="preserve">85423919      </v>
      </c>
      <c r="C1857" t="s">
        <v>4175</v>
      </c>
      <c r="D1857" t="s">
        <v>4175</v>
      </c>
      <c r="E1857" t="s">
        <v>6351</v>
      </c>
      <c r="F1857" t="s">
        <v>6352</v>
      </c>
    </row>
    <row r="1858" spans="1:6" x14ac:dyDescent="0.25">
      <c r="A1858" t="s">
        <v>1679</v>
      </c>
      <c r="B1858" t="str">
        <f>"87023010      "</f>
        <v xml:space="preserve">87023010      </v>
      </c>
      <c r="C1858" t="s">
        <v>6353</v>
      </c>
      <c r="D1858" t="s">
        <v>6353</v>
      </c>
      <c r="E1858" t="s">
        <v>6354</v>
      </c>
      <c r="F1858" t="s">
        <v>6355</v>
      </c>
    </row>
    <row r="1859" spans="1:6" x14ac:dyDescent="0.25">
      <c r="A1859" t="s">
        <v>1679</v>
      </c>
      <c r="B1859" t="str">
        <f>"87023090      "</f>
        <v xml:space="preserve">87023090      </v>
      </c>
      <c r="C1859" t="s">
        <v>6356</v>
      </c>
      <c r="D1859" t="s">
        <v>6356</v>
      </c>
      <c r="E1859" t="s">
        <v>6357</v>
      </c>
      <c r="F1859" t="s">
        <v>6358</v>
      </c>
    </row>
    <row r="1860" spans="1:6" x14ac:dyDescent="0.25">
      <c r="A1860" t="s">
        <v>1679</v>
      </c>
      <c r="B1860" t="str">
        <f>"87032110      "</f>
        <v xml:space="preserve">87032110      </v>
      </c>
      <c r="C1860" t="s">
        <v>6359</v>
      </c>
      <c r="D1860" t="s">
        <v>6359</v>
      </c>
      <c r="E1860" t="s">
        <v>6360</v>
      </c>
      <c r="F1860" t="s">
        <v>6361</v>
      </c>
    </row>
    <row r="1861" spans="1:6" x14ac:dyDescent="0.25">
      <c r="A1861" t="s">
        <v>1679</v>
      </c>
      <c r="B1861" t="str">
        <f>"87032190      "</f>
        <v xml:space="preserve">87032190      </v>
      </c>
      <c r="C1861" t="s">
        <v>6362</v>
      </c>
      <c r="D1861" t="s">
        <v>6362</v>
      </c>
      <c r="E1861" t="s">
        <v>6363</v>
      </c>
      <c r="F1861" t="s">
        <v>6364</v>
      </c>
    </row>
    <row r="1862" spans="1:6" x14ac:dyDescent="0.25">
      <c r="A1862" t="s">
        <v>1679</v>
      </c>
      <c r="B1862" t="str">
        <f>"87032210      "</f>
        <v xml:space="preserve">87032210      </v>
      </c>
      <c r="C1862" t="s">
        <v>6359</v>
      </c>
      <c r="D1862" t="s">
        <v>6359</v>
      </c>
      <c r="E1862" t="s">
        <v>6365</v>
      </c>
      <c r="F1862" t="s">
        <v>6366</v>
      </c>
    </row>
    <row r="1863" spans="1:6" x14ac:dyDescent="0.25">
      <c r="A1863" t="s">
        <v>1679</v>
      </c>
      <c r="B1863" t="str">
        <f>"87032290      "</f>
        <v xml:space="preserve">87032290      </v>
      </c>
      <c r="C1863" t="s">
        <v>6362</v>
      </c>
      <c r="D1863" t="s">
        <v>6362</v>
      </c>
      <c r="E1863" t="s">
        <v>6367</v>
      </c>
      <c r="F1863" t="s">
        <v>6368</v>
      </c>
    </row>
    <row r="1864" spans="1:6" x14ac:dyDescent="0.25">
      <c r="A1864" t="s">
        <v>1679</v>
      </c>
      <c r="B1864" t="str">
        <f>"87032311      "</f>
        <v xml:space="preserve">87032311      </v>
      </c>
      <c r="C1864" t="s">
        <v>6369</v>
      </c>
      <c r="D1864" t="s">
        <v>6369</v>
      </c>
      <c r="E1864" t="s">
        <v>6370</v>
      </c>
      <c r="F1864" t="s">
        <v>6371</v>
      </c>
    </row>
    <row r="1865" spans="1:6" x14ac:dyDescent="0.25">
      <c r="A1865" t="s">
        <v>1679</v>
      </c>
      <c r="B1865" t="str">
        <f>"87032319      "</f>
        <v xml:space="preserve">87032319      </v>
      </c>
      <c r="C1865" t="s">
        <v>4175</v>
      </c>
      <c r="D1865" t="s">
        <v>4175</v>
      </c>
      <c r="E1865" t="s">
        <v>6372</v>
      </c>
      <c r="F1865" t="s">
        <v>6373</v>
      </c>
    </row>
    <row r="1866" spans="1:6" x14ac:dyDescent="0.25">
      <c r="A1866" t="s">
        <v>1679</v>
      </c>
      <c r="B1866" t="str">
        <f>"87032390      "</f>
        <v xml:space="preserve">87032390      </v>
      </c>
      <c r="C1866" t="s">
        <v>6362</v>
      </c>
      <c r="D1866" t="s">
        <v>6362</v>
      </c>
      <c r="E1866" t="s">
        <v>6374</v>
      </c>
      <c r="F1866" t="s">
        <v>6375</v>
      </c>
    </row>
    <row r="1867" spans="1:6" x14ac:dyDescent="0.25">
      <c r="A1867" t="s">
        <v>1679</v>
      </c>
      <c r="B1867" t="str">
        <f>"87032410      "</f>
        <v xml:space="preserve">87032410      </v>
      </c>
      <c r="C1867" t="s">
        <v>6359</v>
      </c>
      <c r="D1867" t="s">
        <v>6359</v>
      </c>
      <c r="E1867" t="s">
        <v>6376</v>
      </c>
      <c r="F1867" t="s">
        <v>6377</v>
      </c>
    </row>
    <row r="1868" spans="1:6" x14ac:dyDescent="0.25">
      <c r="A1868" t="s">
        <v>1679</v>
      </c>
      <c r="B1868" t="str">
        <f>"87032490      "</f>
        <v xml:space="preserve">87032490      </v>
      </c>
      <c r="C1868" t="s">
        <v>6362</v>
      </c>
      <c r="D1868" t="s">
        <v>6362</v>
      </c>
      <c r="E1868" t="s">
        <v>6378</v>
      </c>
      <c r="F1868" t="s">
        <v>6379</v>
      </c>
    </row>
    <row r="1869" spans="1:6" x14ac:dyDescent="0.25">
      <c r="A1869" t="s">
        <v>1679</v>
      </c>
      <c r="B1869" t="str">
        <f>"87034010      "</f>
        <v xml:space="preserve">87034010      </v>
      </c>
      <c r="C1869" t="s">
        <v>6359</v>
      </c>
      <c r="D1869" t="s">
        <v>6359</v>
      </c>
      <c r="E1869" t="s">
        <v>6380</v>
      </c>
      <c r="F1869" t="s">
        <v>6381</v>
      </c>
    </row>
    <row r="1870" spans="1:6" x14ac:dyDescent="0.25">
      <c r="A1870" t="s">
        <v>1679</v>
      </c>
      <c r="B1870" t="str">
        <f>"87034090      "</f>
        <v xml:space="preserve">87034090      </v>
      </c>
      <c r="C1870" t="s">
        <v>6362</v>
      </c>
      <c r="D1870" t="s">
        <v>6362</v>
      </c>
      <c r="E1870" t="s">
        <v>6382</v>
      </c>
      <c r="F1870" t="s">
        <v>6383</v>
      </c>
    </row>
    <row r="1871" spans="1:6" x14ac:dyDescent="0.25">
      <c r="A1871" t="s">
        <v>1679</v>
      </c>
      <c r="B1871" t="str">
        <f>"87036010      "</f>
        <v xml:space="preserve">87036010      </v>
      </c>
      <c r="C1871" t="s">
        <v>6359</v>
      </c>
      <c r="D1871" t="s">
        <v>6359</v>
      </c>
      <c r="E1871" t="s">
        <v>6384</v>
      </c>
      <c r="F1871" t="s">
        <v>6385</v>
      </c>
    </row>
    <row r="1872" spans="1:6" x14ac:dyDescent="0.25">
      <c r="A1872" t="s">
        <v>1679</v>
      </c>
      <c r="B1872" t="str">
        <f>"87036090      "</f>
        <v xml:space="preserve">87036090      </v>
      </c>
      <c r="C1872" t="s">
        <v>6362</v>
      </c>
      <c r="D1872" t="s">
        <v>6362</v>
      </c>
      <c r="E1872" t="s">
        <v>6386</v>
      </c>
      <c r="F1872" t="s">
        <v>6387</v>
      </c>
    </row>
    <row r="1873" spans="1:6" x14ac:dyDescent="0.25">
      <c r="A1873" t="s">
        <v>1679</v>
      </c>
      <c r="B1873" t="str">
        <f>"87042110      "</f>
        <v xml:space="preserve">87042110      </v>
      </c>
      <c r="C1873" t="s">
        <v>6388</v>
      </c>
      <c r="D1873" t="s">
        <v>6388</v>
      </c>
      <c r="E1873" t="s">
        <v>6389</v>
      </c>
      <c r="F1873" t="s">
        <v>6390</v>
      </c>
    </row>
    <row r="1874" spans="1:6" x14ac:dyDescent="0.25">
      <c r="A1874" t="s">
        <v>1679</v>
      </c>
      <c r="B1874" t="str">
        <f>"87042131      "</f>
        <v xml:space="preserve">87042131      </v>
      </c>
      <c r="C1874" t="s">
        <v>6359</v>
      </c>
      <c r="D1874" t="s">
        <v>6359</v>
      </c>
      <c r="E1874" t="s">
        <v>6391</v>
      </c>
      <c r="F1874" t="s">
        <v>6392</v>
      </c>
    </row>
    <row r="1875" spans="1:6" x14ac:dyDescent="0.25">
      <c r="A1875" t="s">
        <v>1679</v>
      </c>
      <c r="B1875" t="str">
        <f>"87042139      "</f>
        <v xml:space="preserve">87042139      </v>
      </c>
      <c r="C1875" t="s">
        <v>6362</v>
      </c>
      <c r="D1875" t="s">
        <v>6362</v>
      </c>
      <c r="E1875" t="s">
        <v>6393</v>
      </c>
      <c r="F1875" t="s">
        <v>6394</v>
      </c>
    </row>
    <row r="1876" spans="1:6" x14ac:dyDescent="0.25">
      <c r="A1876" t="s">
        <v>1679</v>
      </c>
      <c r="B1876" t="str">
        <f>"87042191      "</f>
        <v xml:space="preserve">87042191      </v>
      </c>
      <c r="C1876" t="s">
        <v>6359</v>
      </c>
      <c r="D1876" t="s">
        <v>6359</v>
      </c>
      <c r="E1876" t="s">
        <v>6395</v>
      </c>
      <c r="F1876" t="s">
        <v>6396</v>
      </c>
    </row>
    <row r="1877" spans="1:6" x14ac:dyDescent="0.25">
      <c r="A1877" t="s">
        <v>1679</v>
      </c>
      <c r="B1877" t="str">
        <f>"87042199      "</f>
        <v xml:space="preserve">87042199      </v>
      </c>
      <c r="C1877" t="s">
        <v>6362</v>
      </c>
      <c r="D1877" t="s">
        <v>6362</v>
      </c>
      <c r="E1877" t="s">
        <v>6397</v>
      </c>
      <c r="F1877" t="s">
        <v>6398</v>
      </c>
    </row>
    <row r="1878" spans="1:6" x14ac:dyDescent="0.25">
      <c r="A1878" t="s">
        <v>1679</v>
      </c>
      <c r="B1878" t="str">
        <f>"87042210      "</f>
        <v xml:space="preserve">87042210      </v>
      </c>
      <c r="C1878" t="s">
        <v>6388</v>
      </c>
      <c r="D1878" t="s">
        <v>6388</v>
      </c>
      <c r="E1878" t="s">
        <v>6399</v>
      </c>
      <c r="F1878" t="s">
        <v>6400</v>
      </c>
    </row>
    <row r="1879" spans="1:6" x14ac:dyDescent="0.25">
      <c r="A1879" t="s">
        <v>1679</v>
      </c>
      <c r="B1879" t="str">
        <f>"87042291      "</f>
        <v xml:space="preserve">87042291      </v>
      </c>
      <c r="C1879" t="s">
        <v>6359</v>
      </c>
      <c r="D1879" t="s">
        <v>6359</v>
      </c>
      <c r="E1879" t="s">
        <v>6401</v>
      </c>
      <c r="F1879" t="s">
        <v>6402</v>
      </c>
    </row>
    <row r="1880" spans="1:6" x14ac:dyDescent="0.25">
      <c r="A1880" t="s">
        <v>1679</v>
      </c>
      <c r="B1880" t="str">
        <f>"87042299      "</f>
        <v xml:space="preserve">87042299      </v>
      </c>
      <c r="C1880" t="s">
        <v>6362</v>
      </c>
      <c r="D1880" t="s">
        <v>6362</v>
      </c>
      <c r="E1880" t="s">
        <v>6403</v>
      </c>
      <c r="F1880" t="s">
        <v>6404</v>
      </c>
    </row>
    <row r="1881" spans="1:6" x14ac:dyDescent="0.25">
      <c r="A1881" t="s">
        <v>1679</v>
      </c>
      <c r="B1881" t="str">
        <f>"87042310      "</f>
        <v xml:space="preserve">87042310      </v>
      </c>
      <c r="C1881" t="s">
        <v>6388</v>
      </c>
      <c r="D1881" t="s">
        <v>6388</v>
      </c>
      <c r="E1881" t="s">
        <v>6405</v>
      </c>
      <c r="F1881" t="s">
        <v>6406</v>
      </c>
    </row>
    <row r="1882" spans="1:6" x14ac:dyDescent="0.25">
      <c r="A1882" t="s">
        <v>1679</v>
      </c>
      <c r="B1882" t="str">
        <f>"87042391      "</f>
        <v xml:space="preserve">87042391      </v>
      </c>
      <c r="C1882" t="s">
        <v>6359</v>
      </c>
      <c r="D1882" t="s">
        <v>6359</v>
      </c>
      <c r="E1882" t="s">
        <v>6407</v>
      </c>
      <c r="F1882" t="s">
        <v>6408</v>
      </c>
    </row>
    <row r="1883" spans="1:6" x14ac:dyDescent="0.25">
      <c r="A1883" t="s">
        <v>1679</v>
      </c>
      <c r="B1883" t="str">
        <f>"87042399      "</f>
        <v xml:space="preserve">87042399      </v>
      </c>
      <c r="C1883" t="s">
        <v>6362</v>
      </c>
      <c r="D1883" t="s">
        <v>6362</v>
      </c>
      <c r="E1883" t="s">
        <v>6409</v>
      </c>
      <c r="F1883" t="s">
        <v>6410</v>
      </c>
    </row>
    <row r="1884" spans="1:6" x14ac:dyDescent="0.25">
      <c r="A1884" t="s">
        <v>1679</v>
      </c>
      <c r="B1884" t="str">
        <f>"87043110      "</f>
        <v xml:space="preserve">87043110      </v>
      </c>
      <c r="C1884" t="s">
        <v>6388</v>
      </c>
      <c r="D1884" t="s">
        <v>6388</v>
      </c>
      <c r="E1884" t="s">
        <v>6411</v>
      </c>
      <c r="F1884" t="s">
        <v>6412</v>
      </c>
    </row>
    <row r="1885" spans="1:6" x14ac:dyDescent="0.25">
      <c r="A1885" t="s">
        <v>1679</v>
      </c>
      <c r="B1885" t="str">
        <f>"87043131      "</f>
        <v xml:space="preserve">87043131      </v>
      </c>
      <c r="C1885" t="s">
        <v>6359</v>
      </c>
      <c r="D1885" t="s">
        <v>6359</v>
      </c>
      <c r="E1885" t="s">
        <v>6413</v>
      </c>
      <c r="F1885" t="s">
        <v>6414</v>
      </c>
    </row>
    <row r="1886" spans="1:6" x14ac:dyDescent="0.25">
      <c r="A1886" t="s">
        <v>1679</v>
      </c>
      <c r="B1886" t="str">
        <f>"87043139      "</f>
        <v xml:space="preserve">87043139      </v>
      </c>
      <c r="C1886" t="s">
        <v>6362</v>
      </c>
      <c r="D1886" t="s">
        <v>6362</v>
      </c>
      <c r="E1886" t="s">
        <v>6415</v>
      </c>
      <c r="F1886" t="s">
        <v>6416</v>
      </c>
    </row>
    <row r="1887" spans="1:6" x14ac:dyDescent="0.25">
      <c r="A1887" t="s">
        <v>1679</v>
      </c>
      <c r="B1887" t="str">
        <f>"87043191      "</f>
        <v xml:space="preserve">87043191      </v>
      </c>
      <c r="C1887" t="s">
        <v>6359</v>
      </c>
      <c r="D1887" t="s">
        <v>6359</v>
      </c>
      <c r="E1887" t="s">
        <v>6417</v>
      </c>
      <c r="F1887" t="s">
        <v>6418</v>
      </c>
    </row>
    <row r="1888" spans="1:6" x14ac:dyDescent="0.25">
      <c r="A1888" t="s">
        <v>1679</v>
      </c>
      <c r="B1888" t="str">
        <f>"87043199      "</f>
        <v xml:space="preserve">87043199      </v>
      </c>
      <c r="C1888" t="s">
        <v>6362</v>
      </c>
      <c r="D1888" t="s">
        <v>6362</v>
      </c>
      <c r="E1888" t="s">
        <v>6419</v>
      </c>
      <c r="F1888" t="s">
        <v>6420</v>
      </c>
    </row>
    <row r="1889" spans="1:6" x14ac:dyDescent="0.25">
      <c r="A1889" t="s">
        <v>1679</v>
      </c>
      <c r="B1889" t="str">
        <f>"87043210      "</f>
        <v xml:space="preserve">87043210      </v>
      </c>
      <c r="C1889" t="s">
        <v>6388</v>
      </c>
      <c r="D1889" t="s">
        <v>6388</v>
      </c>
      <c r="E1889" t="s">
        <v>6421</v>
      </c>
      <c r="F1889" t="s">
        <v>6422</v>
      </c>
    </row>
    <row r="1890" spans="1:6" x14ac:dyDescent="0.25">
      <c r="A1890" t="s">
        <v>1679</v>
      </c>
      <c r="B1890" t="str">
        <f>"87043291      "</f>
        <v xml:space="preserve">87043291      </v>
      </c>
      <c r="C1890" t="s">
        <v>6359</v>
      </c>
      <c r="D1890" t="s">
        <v>6359</v>
      </c>
      <c r="E1890" t="s">
        <v>6423</v>
      </c>
      <c r="F1890" t="s">
        <v>6424</v>
      </c>
    </row>
    <row r="1891" spans="1:6" x14ac:dyDescent="0.25">
      <c r="A1891" t="s">
        <v>1679</v>
      </c>
      <c r="B1891" t="str">
        <f>"87043299      "</f>
        <v xml:space="preserve">87043299      </v>
      </c>
      <c r="C1891" t="s">
        <v>6362</v>
      </c>
      <c r="D1891" t="s">
        <v>6362</v>
      </c>
      <c r="E1891" t="s">
        <v>6425</v>
      </c>
      <c r="F1891" t="s">
        <v>6426</v>
      </c>
    </row>
    <row r="1892" spans="1:6" x14ac:dyDescent="0.25">
      <c r="A1892" t="s">
        <v>1679</v>
      </c>
      <c r="B1892" t="str">
        <f>"87111000      "</f>
        <v xml:space="preserve">87111000      </v>
      </c>
      <c r="C1892" t="s">
        <v>6427</v>
      </c>
      <c r="D1892" t="s">
        <v>6428</v>
      </c>
      <c r="E1892" t="s">
        <v>6429</v>
      </c>
      <c r="F1892" t="s">
        <v>6430</v>
      </c>
    </row>
    <row r="1893" spans="1:6" x14ac:dyDescent="0.25">
      <c r="A1893" t="s">
        <v>1679</v>
      </c>
      <c r="B1893" t="str">
        <f>"87112010      "</f>
        <v xml:space="preserve">87112010      </v>
      </c>
      <c r="C1893" t="s">
        <v>3847</v>
      </c>
      <c r="D1893" t="s">
        <v>3847</v>
      </c>
      <c r="E1893" t="s">
        <v>6431</v>
      </c>
      <c r="F1893" t="s">
        <v>6432</v>
      </c>
    </row>
    <row r="1894" spans="1:6" x14ac:dyDescent="0.25">
      <c r="A1894" t="s">
        <v>1679</v>
      </c>
      <c r="B1894" t="str">
        <f>"87112092      "</f>
        <v xml:space="preserve">87112092      </v>
      </c>
      <c r="C1894" t="s">
        <v>6433</v>
      </c>
      <c r="D1894" t="s">
        <v>6433</v>
      </c>
      <c r="E1894" t="s">
        <v>6434</v>
      </c>
      <c r="F1894" t="s">
        <v>6435</v>
      </c>
    </row>
    <row r="1895" spans="1:6" x14ac:dyDescent="0.25">
      <c r="A1895" t="s">
        <v>1679</v>
      </c>
      <c r="B1895" t="str">
        <f>"87112098      "</f>
        <v xml:space="preserve">87112098      </v>
      </c>
      <c r="C1895" t="s">
        <v>6436</v>
      </c>
      <c r="D1895" t="s">
        <v>6436</v>
      </c>
      <c r="E1895" t="s">
        <v>6437</v>
      </c>
      <c r="F1895" t="s">
        <v>6438</v>
      </c>
    </row>
    <row r="1896" spans="1:6" x14ac:dyDescent="0.25">
      <c r="A1896" t="s">
        <v>1679</v>
      </c>
      <c r="B1896" t="str">
        <f>"87113010      "</f>
        <v xml:space="preserve">87113010      </v>
      </c>
      <c r="C1896" t="s">
        <v>6439</v>
      </c>
      <c r="D1896" t="s">
        <v>6439</v>
      </c>
      <c r="E1896" t="s">
        <v>6440</v>
      </c>
      <c r="F1896" t="s">
        <v>6441</v>
      </c>
    </row>
    <row r="1897" spans="1:6" x14ac:dyDescent="0.25">
      <c r="A1897" t="s">
        <v>1679</v>
      </c>
      <c r="B1897" t="str">
        <f>"87113090      "</f>
        <v xml:space="preserve">87113090      </v>
      </c>
      <c r="C1897" t="s">
        <v>6442</v>
      </c>
      <c r="D1897" t="s">
        <v>6442</v>
      </c>
      <c r="E1897" t="s">
        <v>6443</v>
      </c>
      <c r="F1897" t="s">
        <v>6444</v>
      </c>
    </row>
    <row r="1898" spans="1:6" x14ac:dyDescent="0.25">
      <c r="A1898" t="s">
        <v>1679</v>
      </c>
      <c r="B1898" t="str">
        <f>"87114000      "</f>
        <v xml:space="preserve">87114000      </v>
      </c>
      <c r="C1898" t="s">
        <v>6445</v>
      </c>
      <c r="D1898" t="s">
        <v>6446</v>
      </c>
      <c r="E1898" t="s">
        <v>6447</v>
      </c>
      <c r="F1898" t="s">
        <v>6448</v>
      </c>
    </row>
    <row r="1899" spans="1:6" x14ac:dyDescent="0.25">
      <c r="A1899" t="s">
        <v>1679</v>
      </c>
      <c r="B1899" t="str">
        <f>"88021100      "</f>
        <v xml:space="preserve">88021100      </v>
      </c>
      <c r="C1899" t="s">
        <v>6449</v>
      </c>
      <c r="D1899" t="s">
        <v>6449</v>
      </c>
      <c r="E1899" t="s">
        <v>6450</v>
      </c>
      <c r="F1899" t="s">
        <v>6451</v>
      </c>
    </row>
    <row r="1900" spans="1:6" x14ac:dyDescent="0.25">
      <c r="A1900" t="s">
        <v>1679</v>
      </c>
      <c r="B1900" t="str">
        <f>"88021200      "</f>
        <v xml:space="preserve">88021200      </v>
      </c>
      <c r="C1900" t="s">
        <v>6452</v>
      </c>
      <c r="D1900" t="s">
        <v>6452</v>
      </c>
      <c r="E1900" t="s">
        <v>6453</v>
      </c>
      <c r="F1900" t="s">
        <v>6454</v>
      </c>
    </row>
    <row r="1901" spans="1:6" x14ac:dyDescent="0.25">
      <c r="A1901" t="s">
        <v>1679</v>
      </c>
      <c r="B1901" t="str">
        <f>"88022000      "</f>
        <v xml:space="preserve">88022000      </v>
      </c>
      <c r="C1901" t="s">
        <v>6455</v>
      </c>
      <c r="D1901" t="s">
        <v>6455</v>
      </c>
      <c r="E1901" t="s">
        <v>6456</v>
      </c>
      <c r="F1901" t="s">
        <v>6457</v>
      </c>
    </row>
    <row r="1902" spans="1:6" x14ac:dyDescent="0.25">
      <c r="A1902" t="s">
        <v>1679</v>
      </c>
      <c r="B1902" t="str">
        <f>"88023000      "</f>
        <v xml:space="preserve">88023000      </v>
      </c>
      <c r="C1902" t="s">
        <v>6458</v>
      </c>
      <c r="D1902" t="s">
        <v>6458</v>
      </c>
      <c r="E1902" t="s">
        <v>6459</v>
      </c>
      <c r="F1902" t="s">
        <v>6460</v>
      </c>
    </row>
    <row r="1903" spans="1:6" x14ac:dyDescent="0.25">
      <c r="A1903" t="s">
        <v>1679</v>
      </c>
      <c r="B1903" t="str">
        <f>"88024000      "</f>
        <v xml:space="preserve">88024000      </v>
      </c>
      <c r="C1903" t="s">
        <v>6461</v>
      </c>
      <c r="D1903" t="s">
        <v>6461</v>
      </c>
      <c r="E1903" t="s">
        <v>6462</v>
      </c>
      <c r="F1903" t="s">
        <v>6463</v>
      </c>
    </row>
    <row r="1904" spans="1:6" x14ac:dyDescent="0.25">
      <c r="A1904" t="s">
        <v>1679</v>
      </c>
      <c r="B1904" t="str">
        <f>"88026011      "</f>
        <v xml:space="preserve">88026011      </v>
      </c>
      <c r="C1904" t="s">
        <v>6464</v>
      </c>
      <c r="D1904" t="s">
        <v>6464</v>
      </c>
      <c r="E1904" t="s">
        <v>6465</v>
      </c>
      <c r="F1904" t="s">
        <v>6466</v>
      </c>
    </row>
    <row r="1905" spans="1:6" x14ac:dyDescent="0.25">
      <c r="A1905" t="s">
        <v>1679</v>
      </c>
      <c r="B1905" t="str">
        <f>"88026019      "</f>
        <v xml:space="preserve">88026019      </v>
      </c>
      <c r="C1905" t="s">
        <v>4175</v>
      </c>
      <c r="D1905" t="s">
        <v>4175</v>
      </c>
      <c r="E1905" t="s">
        <v>6467</v>
      </c>
      <c r="F1905" t="s">
        <v>6468</v>
      </c>
    </row>
    <row r="1906" spans="1:6" x14ac:dyDescent="0.25">
      <c r="A1906" t="s">
        <v>1679</v>
      </c>
      <c r="B1906" t="str">
        <f>"88026090      "</f>
        <v xml:space="preserve">88026090      </v>
      </c>
      <c r="C1906" t="s">
        <v>6469</v>
      </c>
      <c r="D1906" t="s">
        <v>6469</v>
      </c>
      <c r="E1906" t="s">
        <v>6470</v>
      </c>
      <c r="F1906" t="s">
        <v>6471</v>
      </c>
    </row>
    <row r="1907" spans="1:6" x14ac:dyDescent="0.25">
      <c r="A1907" t="s">
        <v>1679</v>
      </c>
      <c r="B1907" t="str">
        <f>"89039999      "</f>
        <v xml:space="preserve">89039999      </v>
      </c>
      <c r="C1907" t="s">
        <v>4175</v>
      </c>
      <c r="D1907" t="s">
        <v>6472</v>
      </c>
      <c r="E1907" t="s">
        <v>6473</v>
      </c>
      <c r="F1907" t="s">
        <v>6474</v>
      </c>
    </row>
    <row r="1908" spans="1:6" x14ac:dyDescent="0.25">
      <c r="A1908" t="s">
        <v>1679</v>
      </c>
      <c r="B1908" t="str">
        <f>"90065310      "</f>
        <v xml:space="preserve">90065310      </v>
      </c>
      <c r="C1908" t="s">
        <v>6475</v>
      </c>
      <c r="D1908" t="s">
        <v>6475</v>
      </c>
      <c r="E1908" t="s">
        <v>6476</v>
      </c>
      <c r="F1908" t="s">
        <v>6477</v>
      </c>
    </row>
    <row r="1909" spans="1:6" x14ac:dyDescent="0.25">
      <c r="A1909" t="s">
        <v>1679</v>
      </c>
      <c r="B1909" t="str">
        <f>"90065380      "</f>
        <v xml:space="preserve">90065380      </v>
      </c>
      <c r="C1909" t="s">
        <v>4175</v>
      </c>
      <c r="D1909" t="s">
        <v>4175</v>
      </c>
      <c r="E1909" t="s">
        <v>6478</v>
      </c>
      <c r="F1909" t="s">
        <v>6479</v>
      </c>
    </row>
    <row r="1910" spans="1:6" x14ac:dyDescent="0.25">
      <c r="A1910" t="s">
        <v>1679</v>
      </c>
      <c r="B1910" t="str">
        <f>"90131010      "</f>
        <v xml:space="preserve">90131010      </v>
      </c>
      <c r="C1910" t="s">
        <v>6480</v>
      </c>
      <c r="D1910" t="s">
        <v>6480</v>
      </c>
      <c r="E1910" t="s">
        <v>6481</v>
      </c>
      <c r="F1910" t="s">
        <v>6482</v>
      </c>
    </row>
    <row r="1911" spans="1:6" x14ac:dyDescent="0.25">
      <c r="A1911" t="s">
        <v>1679</v>
      </c>
      <c r="B1911" t="str">
        <f>"90131090      "</f>
        <v xml:space="preserve">90131090      </v>
      </c>
      <c r="C1911" t="s">
        <v>4175</v>
      </c>
      <c r="D1911" t="s">
        <v>4175</v>
      </c>
      <c r="E1911" t="s">
        <v>6483</v>
      </c>
      <c r="F1911" t="s">
        <v>6484</v>
      </c>
    </row>
    <row r="1912" spans="1:6" x14ac:dyDescent="0.25">
      <c r="A1912" t="s">
        <v>1679</v>
      </c>
      <c r="B1912" t="str">
        <f>"90132000      "</f>
        <v xml:space="preserve">90132000      </v>
      </c>
      <c r="C1912" t="s">
        <v>6485</v>
      </c>
      <c r="D1912" t="s">
        <v>6485</v>
      </c>
      <c r="E1912" t="s">
        <v>6486</v>
      </c>
      <c r="F1912" t="s">
        <v>6487</v>
      </c>
    </row>
    <row r="1913" spans="1:6" x14ac:dyDescent="0.25">
      <c r="A1913" t="s">
        <v>1679</v>
      </c>
      <c r="B1913" t="str">
        <f>"90139005      "</f>
        <v xml:space="preserve">90139005      </v>
      </c>
      <c r="C1913" t="s">
        <v>6488</v>
      </c>
      <c r="D1913" t="s">
        <v>6488</v>
      </c>
      <c r="E1913" t="s">
        <v>6489</v>
      </c>
      <c r="F1913" t="s">
        <v>6490</v>
      </c>
    </row>
    <row r="1914" spans="1:6" x14ac:dyDescent="0.25">
      <c r="A1914" t="s">
        <v>1679</v>
      </c>
      <c r="B1914" t="str">
        <f>"90139080      "</f>
        <v xml:space="preserve">90139080      </v>
      </c>
      <c r="C1914" t="s">
        <v>4175</v>
      </c>
      <c r="D1914" t="s">
        <v>4175</v>
      </c>
      <c r="E1914" t="s">
        <v>6491</v>
      </c>
      <c r="F1914" t="s">
        <v>6492</v>
      </c>
    </row>
    <row r="1915" spans="1:6" x14ac:dyDescent="0.25">
      <c r="A1915" t="s">
        <v>1679</v>
      </c>
      <c r="B1915" t="str">
        <f>"90221200      "</f>
        <v xml:space="preserve">90221200      </v>
      </c>
      <c r="C1915" t="s">
        <v>6493</v>
      </c>
      <c r="D1915" t="s">
        <v>6493</v>
      </c>
      <c r="E1915" t="s">
        <v>6494</v>
      </c>
      <c r="F1915" t="s">
        <v>6495</v>
      </c>
    </row>
    <row r="1916" spans="1:6" x14ac:dyDescent="0.25">
      <c r="A1916" t="s">
        <v>1679</v>
      </c>
      <c r="B1916" t="str">
        <f>"90221300      "</f>
        <v xml:space="preserve">90221300      </v>
      </c>
      <c r="C1916" t="s">
        <v>6496</v>
      </c>
      <c r="D1916" t="s">
        <v>6496</v>
      </c>
      <c r="E1916" t="s">
        <v>6497</v>
      </c>
      <c r="F1916" t="s">
        <v>6498</v>
      </c>
    </row>
    <row r="1917" spans="1:6" x14ac:dyDescent="0.25">
      <c r="A1917" t="s">
        <v>1679</v>
      </c>
      <c r="B1917" t="str">
        <f>"90221400      "</f>
        <v xml:space="preserve">90221400      </v>
      </c>
      <c r="C1917" t="s">
        <v>6499</v>
      </c>
      <c r="D1917" t="s">
        <v>6499</v>
      </c>
      <c r="E1917" t="s">
        <v>6500</v>
      </c>
      <c r="F1917" t="s">
        <v>6501</v>
      </c>
    </row>
    <row r="1918" spans="1:6" x14ac:dyDescent="0.25">
      <c r="A1918" t="s">
        <v>1679</v>
      </c>
      <c r="B1918" t="str">
        <f>"90221900      "</f>
        <v xml:space="preserve">90221900      </v>
      </c>
      <c r="C1918" t="s">
        <v>6502</v>
      </c>
      <c r="D1918" t="s">
        <v>6502</v>
      </c>
      <c r="E1918" t="s">
        <v>6503</v>
      </c>
      <c r="F1918" t="s">
        <v>6504</v>
      </c>
    </row>
    <row r="1919" spans="1:6" x14ac:dyDescent="0.25">
      <c r="A1919" t="s">
        <v>1679</v>
      </c>
      <c r="B1919" t="str">
        <f>"90222100      "</f>
        <v xml:space="preserve">90222100      </v>
      </c>
      <c r="C1919" t="s">
        <v>6505</v>
      </c>
      <c r="D1919" t="s">
        <v>6505</v>
      </c>
      <c r="E1919" t="s">
        <v>6506</v>
      </c>
      <c r="F1919" t="s">
        <v>6507</v>
      </c>
    </row>
    <row r="1920" spans="1:6" x14ac:dyDescent="0.25">
      <c r="A1920" t="s">
        <v>1679</v>
      </c>
      <c r="B1920" t="str">
        <f>"90222900      "</f>
        <v xml:space="preserve">90222900      </v>
      </c>
      <c r="C1920" t="s">
        <v>6502</v>
      </c>
      <c r="D1920" t="s">
        <v>6502</v>
      </c>
      <c r="E1920" t="s">
        <v>6508</v>
      </c>
      <c r="F1920" t="s">
        <v>6509</v>
      </c>
    </row>
    <row r="1921" spans="1:6" x14ac:dyDescent="0.25">
      <c r="A1921" t="s">
        <v>1679</v>
      </c>
      <c r="B1921" t="str">
        <f>"90223000      "</f>
        <v xml:space="preserve">90223000      </v>
      </c>
      <c r="C1921" t="s">
        <v>6510</v>
      </c>
      <c r="D1921" t="s">
        <v>6510</v>
      </c>
      <c r="E1921" t="s">
        <v>6511</v>
      </c>
      <c r="F1921" t="s">
        <v>6512</v>
      </c>
    </row>
    <row r="1922" spans="1:6" x14ac:dyDescent="0.25">
      <c r="A1922" t="s">
        <v>1679</v>
      </c>
      <c r="B1922" t="str">
        <f>"90229020      "</f>
        <v xml:space="preserve">90229020      </v>
      </c>
      <c r="C1922" t="s">
        <v>6513</v>
      </c>
      <c r="D1922" t="s">
        <v>6513</v>
      </c>
      <c r="E1922" t="s">
        <v>6514</v>
      </c>
      <c r="F1922" t="s">
        <v>6515</v>
      </c>
    </row>
    <row r="1923" spans="1:6" x14ac:dyDescent="0.25">
      <c r="A1923" t="s">
        <v>1679</v>
      </c>
      <c r="B1923" t="str">
        <f>"90229080      "</f>
        <v xml:space="preserve">90229080      </v>
      </c>
      <c r="C1923" t="s">
        <v>4175</v>
      </c>
      <c r="D1923" t="s">
        <v>4175</v>
      </c>
      <c r="E1923" t="s">
        <v>6516</v>
      </c>
      <c r="F1923" t="s">
        <v>6517</v>
      </c>
    </row>
    <row r="1924" spans="1:6" x14ac:dyDescent="0.25">
      <c r="A1924" t="s">
        <v>1679</v>
      </c>
      <c r="B1924" t="str">
        <f>"90303100      "</f>
        <v xml:space="preserve">90303100      </v>
      </c>
      <c r="C1924" t="s">
        <v>6518</v>
      </c>
      <c r="D1924" t="s">
        <v>6518</v>
      </c>
      <c r="E1924" t="s">
        <v>6519</v>
      </c>
      <c r="F1924" t="s">
        <v>6520</v>
      </c>
    </row>
    <row r="1925" spans="1:6" x14ac:dyDescent="0.25">
      <c r="A1925" t="s">
        <v>1679</v>
      </c>
      <c r="B1925" t="str">
        <f>"90303200      "</f>
        <v xml:space="preserve">90303200      </v>
      </c>
      <c r="C1925" t="s">
        <v>6521</v>
      </c>
      <c r="D1925" t="s">
        <v>6521</v>
      </c>
      <c r="E1925" t="s">
        <v>6522</v>
      </c>
      <c r="F1925" t="s">
        <v>6523</v>
      </c>
    </row>
    <row r="1926" spans="1:6" x14ac:dyDescent="0.25">
      <c r="A1926" t="s">
        <v>1679</v>
      </c>
      <c r="B1926" t="str">
        <f>"90303320      "</f>
        <v xml:space="preserve">90303320      </v>
      </c>
      <c r="C1926" t="s">
        <v>6524</v>
      </c>
      <c r="D1926" t="s">
        <v>6524</v>
      </c>
      <c r="E1926" t="s">
        <v>6525</v>
      </c>
      <c r="F1926" t="s">
        <v>6526</v>
      </c>
    </row>
    <row r="1927" spans="1:6" x14ac:dyDescent="0.25">
      <c r="A1927" t="s">
        <v>1679</v>
      </c>
      <c r="B1927" t="str">
        <f>"90303370      "</f>
        <v xml:space="preserve">90303370      </v>
      </c>
      <c r="C1927" t="s">
        <v>4175</v>
      </c>
      <c r="D1927" t="s">
        <v>4175</v>
      </c>
      <c r="E1927" t="s">
        <v>6527</v>
      </c>
      <c r="F1927" t="s">
        <v>6528</v>
      </c>
    </row>
    <row r="1928" spans="1:6" x14ac:dyDescent="0.25">
      <c r="A1928" t="s">
        <v>1679</v>
      </c>
      <c r="B1928" t="str">
        <f>"90303900      "</f>
        <v xml:space="preserve">90303900      </v>
      </c>
      <c r="C1928" t="s">
        <v>6529</v>
      </c>
      <c r="D1928" t="s">
        <v>6529</v>
      </c>
      <c r="E1928" t="s">
        <v>6530</v>
      </c>
      <c r="F1928" t="s">
        <v>6531</v>
      </c>
    </row>
    <row r="1929" spans="1:6" x14ac:dyDescent="0.25">
      <c r="A1929" t="s">
        <v>1679</v>
      </c>
      <c r="B1929" t="str">
        <f>"90308200      "</f>
        <v xml:space="preserve">90308200      </v>
      </c>
      <c r="C1929" t="s">
        <v>6532</v>
      </c>
      <c r="D1929" t="s">
        <v>6533</v>
      </c>
      <c r="E1929" t="s">
        <v>6534</v>
      </c>
      <c r="F1929" t="s">
        <v>6535</v>
      </c>
    </row>
    <row r="1930" spans="1:6" x14ac:dyDescent="0.25">
      <c r="A1930" t="s">
        <v>1679</v>
      </c>
      <c r="B1930" t="str">
        <f>"90314100      "</f>
        <v xml:space="preserve">90314100      </v>
      </c>
      <c r="C1930" t="s">
        <v>6536</v>
      </c>
      <c r="D1930" t="s">
        <v>6537</v>
      </c>
      <c r="E1930" t="s">
        <v>6538</v>
      </c>
      <c r="F1930" t="s">
        <v>6539</v>
      </c>
    </row>
    <row r="1931" spans="1:6" x14ac:dyDescent="0.25">
      <c r="A1931" t="s">
        <v>1679</v>
      </c>
      <c r="B1931" t="str">
        <f>"94011000      "</f>
        <v xml:space="preserve">94011000      </v>
      </c>
      <c r="C1931" t="s">
        <v>6540</v>
      </c>
      <c r="D1931" t="s">
        <v>6540</v>
      </c>
      <c r="E1931" t="s">
        <v>6541</v>
      </c>
      <c r="F1931" t="s">
        <v>6542</v>
      </c>
    </row>
    <row r="1932" spans="1:6" x14ac:dyDescent="0.25">
      <c r="A1932" t="s">
        <v>1679</v>
      </c>
      <c r="B1932" t="str">
        <f>"94012000      "</f>
        <v xml:space="preserve">94012000      </v>
      </c>
      <c r="C1932" t="s">
        <v>6543</v>
      </c>
      <c r="D1932" t="s">
        <v>6543</v>
      </c>
      <c r="E1932" t="s">
        <v>6544</v>
      </c>
      <c r="F1932" t="s">
        <v>6545</v>
      </c>
    </row>
    <row r="1933" spans="1:6" x14ac:dyDescent="0.25">
      <c r="A1933" t="s">
        <v>1679</v>
      </c>
      <c r="B1933" t="str">
        <f>"94015200      "</f>
        <v xml:space="preserve">94015200      </v>
      </c>
      <c r="C1933" t="s">
        <v>6546</v>
      </c>
      <c r="D1933" t="s">
        <v>6546</v>
      </c>
      <c r="E1933" t="s">
        <v>6547</v>
      </c>
      <c r="F1933" t="s">
        <v>6548</v>
      </c>
    </row>
    <row r="1934" spans="1:6" x14ac:dyDescent="0.25">
      <c r="A1934" t="s">
        <v>1679</v>
      </c>
      <c r="B1934" t="str">
        <f>"94015300      "</f>
        <v xml:space="preserve">94015300      </v>
      </c>
      <c r="C1934" t="s">
        <v>6549</v>
      </c>
      <c r="D1934" t="s">
        <v>6549</v>
      </c>
      <c r="E1934" t="s">
        <v>6550</v>
      </c>
      <c r="F1934" t="s">
        <v>6551</v>
      </c>
    </row>
    <row r="1935" spans="1:6" x14ac:dyDescent="0.25">
      <c r="A1935" t="s">
        <v>1679</v>
      </c>
      <c r="B1935" t="str">
        <f>"94015900      "</f>
        <v xml:space="preserve">94015900      </v>
      </c>
      <c r="C1935" t="s">
        <v>4175</v>
      </c>
      <c r="D1935" t="s">
        <v>4175</v>
      </c>
      <c r="E1935" t="s">
        <v>6552</v>
      </c>
      <c r="F1935" t="s">
        <v>6553</v>
      </c>
    </row>
    <row r="1936" spans="1:6" x14ac:dyDescent="0.25">
      <c r="A1936" t="s">
        <v>1679</v>
      </c>
      <c r="B1936" t="str">
        <f>"94016100      "</f>
        <v xml:space="preserve">94016100      </v>
      </c>
      <c r="C1936" t="s">
        <v>6554</v>
      </c>
      <c r="D1936" t="s">
        <v>6554</v>
      </c>
      <c r="E1936" t="s">
        <v>6555</v>
      </c>
      <c r="F1936" t="s">
        <v>6556</v>
      </c>
    </row>
    <row r="1937" spans="1:6" x14ac:dyDescent="0.25">
      <c r="A1937" t="s">
        <v>1679</v>
      </c>
      <c r="B1937" t="str">
        <f>"94016900      "</f>
        <v xml:space="preserve">94016900      </v>
      </c>
      <c r="C1937" t="s">
        <v>4175</v>
      </c>
      <c r="D1937" t="s">
        <v>4175</v>
      </c>
      <c r="E1937" t="s">
        <v>6557</v>
      </c>
      <c r="F1937" t="s">
        <v>6558</v>
      </c>
    </row>
    <row r="1938" spans="1:6" x14ac:dyDescent="0.25">
      <c r="A1938" t="s">
        <v>1679</v>
      </c>
      <c r="B1938" t="str">
        <f>"94017100      "</f>
        <v xml:space="preserve">94017100      </v>
      </c>
      <c r="C1938" t="s">
        <v>6554</v>
      </c>
      <c r="D1938" t="s">
        <v>6554</v>
      </c>
      <c r="E1938" t="s">
        <v>6559</v>
      </c>
      <c r="F1938" t="s">
        <v>6560</v>
      </c>
    </row>
    <row r="1939" spans="1:6" x14ac:dyDescent="0.25">
      <c r="A1939" t="s">
        <v>1679</v>
      </c>
      <c r="B1939" t="str">
        <f>"94017900      "</f>
        <v xml:space="preserve">94017900      </v>
      </c>
      <c r="C1939" t="s">
        <v>4175</v>
      </c>
      <c r="D1939" t="s">
        <v>4175</v>
      </c>
      <c r="E1939" t="s">
        <v>6561</v>
      </c>
      <c r="F1939" t="s">
        <v>6562</v>
      </c>
    </row>
    <row r="1940" spans="1:6" x14ac:dyDescent="0.25">
      <c r="A1940" t="s">
        <v>1679</v>
      </c>
      <c r="B1940" t="str">
        <f>"94018000      "</f>
        <v xml:space="preserve">94018000      </v>
      </c>
      <c r="C1940" t="s">
        <v>6563</v>
      </c>
      <c r="D1940" t="s">
        <v>6563</v>
      </c>
      <c r="E1940" t="s">
        <v>6564</v>
      </c>
      <c r="F1940" t="s">
        <v>6565</v>
      </c>
    </row>
    <row r="1941" spans="1:6" x14ac:dyDescent="0.25">
      <c r="A1941" t="s">
        <v>1679</v>
      </c>
      <c r="B1941" t="str">
        <f>"94021000      "</f>
        <v xml:space="preserve">94021000      </v>
      </c>
      <c r="C1941" t="s">
        <v>6566</v>
      </c>
      <c r="D1941" t="s">
        <v>6566</v>
      </c>
      <c r="E1941" t="s">
        <v>6567</v>
      </c>
      <c r="F1941" t="s">
        <v>6568</v>
      </c>
    </row>
    <row r="1942" spans="1:6" x14ac:dyDescent="0.25">
      <c r="A1942" t="s">
        <v>1679</v>
      </c>
      <c r="B1942" t="str">
        <f>"94029000      "</f>
        <v xml:space="preserve">94029000      </v>
      </c>
      <c r="C1942" t="s">
        <v>4175</v>
      </c>
      <c r="D1942" t="s">
        <v>4175</v>
      </c>
      <c r="E1942" t="s">
        <v>6569</v>
      </c>
      <c r="F1942" t="s">
        <v>6570</v>
      </c>
    </row>
    <row r="1943" spans="1:6" x14ac:dyDescent="0.25">
      <c r="A1943" t="s">
        <v>1679</v>
      </c>
      <c r="B1943" t="str">
        <f>"94031051      "</f>
        <v xml:space="preserve">94031051      </v>
      </c>
      <c r="C1943" t="s">
        <v>6571</v>
      </c>
      <c r="D1943" t="s">
        <v>6571</v>
      </c>
      <c r="E1943" t="s">
        <v>6572</v>
      </c>
      <c r="F1943" t="s">
        <v>6573</v>
      </c>
    </row>
    <row r="1944" spans="1:6" x14ac:dyDescent="0.25">
      <c r="A1944" t="s">
        <v>1679</v>
      </c>
      <c r="B1944" t="str">
        <f>"94031058      "</f>
        <v xml:space="preserve">94031058      </v>
      </c>
      <c r="C1944" t="s">
        <v>4175</v>
      </c>
      <c r="D1944" t="s">
        <v>4175</v>
      </c>
      <c r="E1944" t="s">
        <v>6574</v>
      </c>
      <c r="F1944" t="s">
        <v>6575</v>
      </c>
    </row>
    <row r="1945" spans="1:6" x14ac:dyDescent="0.25">
      <c r="A1945" t="s">
        <v>1679</v>
      </c>
      <c r="B1945" t="str">
        <f>"94031091      "</f>
        <v xml:space="preserve">94031091      </v>
      </c>
      <c r="C1945" t="s">
        <v>6576</v>
      </c>
      <c r="D1945" t="s">
        <v>6576</v>
      </c>
      <c r="E1945" t="s">
        <v>6577</v>
      </c>
      <c r="F1945" t="s">
        <v>6578</v>
      </c>
    </row>
    <row r="1946" spans="1:6" x14ac:dyDescent="0.25">
      <c r="A1946" t="s">
        <v>1679</v>
      </c>
      <c r="B1946" t="str">
        <f>"94031093      "</f>
        <v xml:space="preserve">94031093      </v>
      </c>
      <c r="C1946" t="s">
        <v>6579</v>
      </c>
      <c r="D1946" t="s">
        <v>6579</v>
      </c>
      <c r="E1946" t="s">
        <v>6580</v>
      </c>
      <c r="F1946" t="s">
        <v>6581</v>
      </c>
    </row>
    <row r="1947" spans="1:6" x14ac:dyDescent="0.25">
      <c r="A1947" t="s">
        <v>1679</v>
      </c>
      <c r="B1947" t="str">
        <f>"94031098      "</f>
        <v xml:space="preserve">94031098      </v>
      </c>
      <c r="C1947" t="s">
        <v>4175</v>
      </c>
      <c r="D1947" t="s">
        <v>4175</v>
      </c>
      <c r="E1947" t="s">
        <v>6582</v>
      </c>
      <c r="F1947" t="s">
        <v>6583</v>
      </c>
    </row>
    <row r="1948" spans="1:6" x14ac:dyDescent="0.25">
      <c r="A1948" t="s">
        <v>1679</v>
      </c>
      <c r="B1948" t="str">
        <f>"94032020      "</f>
        <v xml:space="preserve">94032020      </v>
      </c>
      <c r="C1948" t="s">
        <v>6584</v>
      </c>
      <c r="D1948" t="s">
        <v>6584</v>
      </c>
      <c r="E1948" t="s">
        <v>6585</v>
      </c>
      <c r="F1948" t="s">
        <v>6586</v>
      </c>
    </row>
    <row r="1949" spans="1:6" x14ac:dyDescent="0.25">
      <c r="A1949" t="s">
        <v>1679</v>
      </c>
      <c r="B1949" t="str">
        <f>"94032080      "</f>
        <v xml:space="preserve">94032080      </v>
      </c>
      <c r="C1949" t="s">
        <v>4175</v>
      </c>
      <c r="D1949" t="s">
        <v>4175</v>
      </c>
      <c r="E1949" t="s">
        <v>6587</v>
      </c>
      <c r="F1949" t="s">
        <v>6588</v>
      </c>
    </row>
    <row r="1950" spans="1:6" x14ac:dyDescent="0.25">
      <c r="A1950" t="s">
        <v>1679</v>
      </c>
      <c r="B1950" t="str">
        <f>"94033011      "</f>
        <v xml:space="preserve">94033011      </v>
      </c>
      <c r="C1950" t="s">
        <v>6571</v>
      </c>
      <c r="D1950" t="s">
        <v>6571</v>
      </c>
      <c r="E1950" t="s">
        <v>6589</v>
      </c>
      <c r="F1950" t="s">
        <v>6590</v>
      </c>
    </row>
    <row r="1951" spans="1:6" x14ac:dyDescent="0.25">
      <c r="A1951" t="s">
        <v>1679</v>
      </c>
      <c r="B1951" t="str">
        <f>"94033019      "</f>
        <v xml:space="preserve">94033019      </v>
      </c>
      <c r="C1951" t="s">
        <v>4175</v>
      </c>
      <c r="D1951" t="s">
        <v>4175</v>
      </c>
      <c r="E1951" t="s">
        <v>6591</v>
      </c>
      <c r="F1951" t="s">
        <v>6592</v>
      </c>
    </row>
    <row r="1952" spans="1:6" x14ac:dyDescent="0.25">
      <c r="A1952" t="s">
        <v>1679</v>
      </c>
      <c r="B1952" t="str">
        <f>"94033091      "</f>
        <v xml:space="preserve">94033091      </v>
      </c>
      <c r="C1952" t="s">
        <v>6593</v>
      </c>
      <c r="D1952" t="s">
        <v>6593</v>
      </c>
      <c r="E1952" t="s">
        <v>6594</v>
      </c>
      <c r="F1952" t="s">
        <v>6595</v>
      </c>
    </row>
    <row r="1953" spans="1:6" x14ac:dyDescent="0.25">
      <c r="A1953" t="s">
        <v>1679</v>
      </c>
      <c r="B1953" t="str">
        <f>"94033099      "</f>
        <v xml:space="preserve">94033099      </v>
      </c>
      <c r="C1953" t="s">
        <v>4175</v>
      </c>
      <c r="D1953" t="s">
        <v>4175</v>
      </c>
      <c r="E1953" t="s">
        <v>6596</v>
      </c>
      <c r="F1953" t="s">
        <v>6597</v>
      </c>
    </row>
    <row r="1954" spans="1:6" x14ac:dyDescent="0.25">
      <c r="A1954" t="s">
        <v>1679</v>
      </c>
      <c r="B1954" t="str">
        <f>"94034010      "</f>
        <v xml:space="preserve">94034010      </v>
      </c>
      <c r="C1954" t="s">
        <v>6598</v>
      </c>
      <c r="D1954" t="s">
        <v>6598</v>
      </c>
      <c r="E1954" t="s">
        <v>6599</v>
      </c>
      <c r="F1954" t="s">
        <v>6600</v>
      </c>
    </row>
    <row r="1955" spans="1:6" x14ac:dyDescent="0.25">
      <c r="A1955" t="s">
        <v>1679</v>
      </c>
      <c r="B1955" t="str">
        <f>"94034090      "</f>
        <v xml:space="preserve">94034090      </v>
      </c>
      <c r="C1955" t="s">
        <v>4175</v>
      </c>
      <c r="D1955" t="s">
        <v>4175</v>
      </c>
      <c r="E1955" t="s">
        <v>6601</v>
      </c>
      <c r="F1955" t="s">
        <v>6602</v>
      </c>
    </row>
    <row r="1956" spans="1:6" x14ac:dyDescent="0.25">
      <c r="A1956" t="s">
        <v>1679</v>
      </c>
      <c r="B1956" t="str">
        <f>"94035000      "</f>
        <v xml:space="preserve">94035000      </v>
      </c>
      <c r="C1956" t="s">
        <v>6603</v>
      </c>
      <c r="D1956" t="s">
        <v>6603</v>
      </c>
      <c r="E1956" t="s">
        <v>6604</v>
      </c>
      <c r="F1956" t="s">
        <v>6605</v>
      </c>
    </row>
    <row r="1957" spans="1:6" x14ac:dyDescent="0.25">
      <c r="A1957" t="s">
        <v>1679</v>
      </c>
      <c r="B1957" t="str">
        <f>"94036010      "</f>
        <v xml:space="preserve">94036010      </v>
      </c>
      <c r="C1957" t="s">
        <v>6606</v>
      </c>
      <c r="D1957" t="s">
        <v>6606</v>
      </c>
      <c r="E1957" t="s">
        <v>6607</v>
      </c>
      <c r="F1957" t="s">
        <v>6608</v>
      </c>
    </row>
    <row r="1958" spans="1:6" x14ac:dyDescent="0.25">
      <c r="A1958" t="s">
        <v>1679</v>
      </c>
      <c r="B1958" t="str">
        <f>"94036030      "</f>
        <v xml:space="preserve">94036030      </v>
      </c>
      <c r="C1958" t="s">
        <v>6609</v>
      </c>
      <c r="D1958" t="s">
        <v>6609</v>
      </c>
      <c r="E1958" t="s">
        <v>6610</v>
      </c>
      <c r="F1958" t="s">
        <v>6611</v>
      </c>
    </row>
    <row r="1959" spans="1:6" x14ac:dyDescent="0.25">
      <c r="A1959" t="s">
        <v>1679</v>
      </c>
      <c r="B1959" t="str">
        <f>"94036090      "</f>
        <v xml:space="preserve">94036090      </v>
      </c>
      <c r="C1959" t="s">
        <v>6612</v>
      </c>
      <c r="D1959" t="s">
        <v>6612</v>
      </c>
      <c r="E1959" t="s">
        <v>6613</v>
      </c>
      <c r="F1959" t="s">
        <v>6614</v>
      </c>
    </row>
    <row r="1960" spans="1:6" x14ac:dyDescent="0.25">
      <c r="A1960" t="s">
        <v>1679</v>
      </c>
      <c r="B1960" t="str">
        <f>"94037000      "</f>
        <v xml:space="preserve">94037000      </v>
      </c>
      <c r="C1960" t="s">
        <v>6615</v>
      </c>
      <c r="D1960" t="s">
        <v>6615</v>
      </c>
      <c r="E1960" t="s">
        <v>6616</v>
      </c>
      <c r="F1960" t="s">
        <v>6617</v>
      </c>
    </row>
    <row r="1961" spans="1:6" x14ac:dyDescent="0.25">
      <c r="A1961" t="s">
        <v>1679</v>
      </c>
      <c r="B1961" t="str">
        <f>"94038200      "</f>
        <v xml:space="preserve">94038200      </v>
      </c>
      <c r="C1961" t="s">
        <v>6546</v>
      </c>
      <c r="D1961" t="s">
        <v>6546</v>
      </c>
      <c r="E1961" t="s">
        <v>6618</v>
      </c>
      <c r="F1961" t="s">
        <v>6619</v>
      </c>
    </row>
    <row r="1962" spans="1:6" x14ac:dyDescent="0.25">
      <c r="A1962" t="s">
        <v>1679</v>
      </c>
      <c r="B1962" t="str">
        <f>"94038300      "</f>
        <v xml:space="preserve">94038300      </v>
      </c>
      <c r="C1962" t="s">
        <v>6549</v>
      </c>
      <c r="D1962" t="s">
        <v>6549</v>
      </c>
      <c r="E1962" t="s">
        <v>6620</v>
      </c>
      <c r="F1962" t="s">
        <v>6621</v>
      </c>
    </row>
    <row r="1963" spans="1:6" x14ac:dyDescent="0.25">
      <c r="A1963" t="s">
        <v>1679</v>
      </c>
      <c r="B1963" t="str">
        <f>"94038900      "</f>
        <v xml:space="preserve">94038900      </v>
      </c>
      <c r="C1963" t="s">
        <v>4175</v>
      </c>
      <c r="D1963" t="s">
        <v>4175</v>
      </c>
      <c r="E1963" t="s">
        <v>6622</v>
      </c>
      <c r="F1963" t="s">
        <v>6623</v>
      </c>
    </row>
    <row r="1964" spans="1:6" x14ac:dyDescent="0.25">
      <c r="A1964" t="s">
        <v>1679</v>
      </c>
      <c r="B1964" t="str">
        <f>"94041000      "</f>
        <v xml:space="preserve">94041000      </v>
      </c>
      <c r="C1964" t="s">
        <v>6624</v>
      </c>
      <c r="D1964" t="s">
        <v>6624</v>
      </c>
      <c r="E1964" t="s">
        <v>6625</v>
      </c>
      <c r="F1964" t="s">
        <v>6626</v>
      </c>
    </row>
    <row r="1965" spans="1:6" x14ac:dyDescent="0.25">
      <c r="A1965" t="s">
        <v>1679</v>
      </c>
      <c r="B1965" t="str">
        <f>"94042110      "</f>
        <v xml:space="preserve">94042110      </v>
      </c>
      <c r="C1965" t="s">
        <v>6627</v>
      </c>
      <c r="D1965" t="s">
        <v>6627</v>
      </c>
      <c r="E1965" t="s">
        <v>6628</v>
      </c>
      <c r="F1965" t="s">
        <v>6629</v>
      </c>
    </row>
    <row r="1966" spans="1:6" x14ac:dyDescent="0.25">
      <c r="A1966" t="s">
        <v>1679</v>
      </c>
      <c r="B1966" t="str">
        <f>"94042190      "</f>
        <v xml:space="preserve">94042190      </v>
      </c>
      <c r="C1966" t="s">
        <v>6630</v>
      </c>
      <c r="D1966" t="s">
        <v>6630</v>
      </c>
      <c r="E1966" t="s">
        <v>6631</v>
      </c>
      <c r="F1966" t="s">
        <v>6632</v>
      </c>
    </row>
    <row r="1967" spans="1:6" x14ac:dyDescent="0.25">
      <c r="A1967" t="s">
        <v>1679</v>
      </c>
      <c r="B1967" t="str">
        <f>"94042910      "</f>
        <v xml:space="preserve">94042910      </v>
      </c>
      <c r="C1967" t="s">
        <v>6633</v>
      </c>
      <c r="D1967" t="s">
        <v>6633</v>
      </c>
      <c r="E1967" t="s">
        <v>6634</v>
      </c>
      <c r="F1967" t="s">
        <v>6635</v>
      </c>
    </row>
    <row r="1968" spans="1:6" x14ac:dyDescent="0.25">
      <c r="A1968" t="s">
        <v>1679</v>
      </c>
      <c r="B1968" t="str">
        <f>"94042990      "</f>
        <v xml:space="preserve">94042990      </v>
      </c>
      <c r="C1968" t="s">
        <v>4175</v>
      </c>
      <c r="D1968" t="s">
        <v>4175</v>
      </c>
      <c r="E1968" t="s">
        <v>6636</v>
      </c>
      <c r="F1968" t="s">
        <v>6637</v>
      </c>
    </row>
    <row r="1969" spans="1:6" x14ac:dyDescent="0.25">
      <c r="A1969" t="s">
        <v>1679</v>
      </c>
      <c r="B1969" t="str">
        <f>"94043000      "</f>
        <v xml:space="preserve">94043000      </v>
      </c>
      <c r="C1969" t="s">
        <v>6638</v>
      </c>
      <c r="D1969" t="s">
        <v>6638</v>
      </c>
      <c r="E1969" t="s">
        <v>6639</v>
      </c>
      <c r="F1969" t="s">
        <v>6640</v>
      </c>
    </row>
    <row r="1970" spans="1:6" x14ac:dyDescent="0.25">
      <c r="A1970" t="s">
        <v>1679</v>
      </c>
      <c r="B1970" t="str">
        <f>"94049010      "</f>
        <v xml:space="preserve">94049010      </v>
      </c>
      <c r="C1970" t="s">
        <v>6641</v>
      </c>
      <c r="D1970" t="s">
        <v>6641</v>
      </c>
      <c r="E1970" t="s">
        <v>6642</v>
      </c>
      <c r="F1970" t="s">
        <v>6643</v>
      </c>
    </row>
    <row r="1971" spans="1:6" x14ac:dyDescent="0.25">
      <c r="A1971" t="s">
        <v>1679</v>
      </c>
      <c r="B1971" t="str">
        <f>"94049090      "</f>
        <v xml:space="preserve">94049090      </v>
      </c>
      <c r="C1971" t="s">
        <v>4175</v>
      </c>
      <c r="D1971" t="s">
        <v>4175</v>
      </c>
      <c r="E1971" t="s">
        <v>6644</v>
      </c>
      <c r="F1971" t="s">
        <v>6645</v>
      </c>
    </row>
    <row r="1972" spans="1:6" x14ac:dyDescent="0.25">
      <c r="A1972" t="s">
        <v>1679</v>
      </c>
      <c r="B1972" t="str">
        <f>"94055000      "</f>
        <v xml:space="preserve">94055000      </v>
      </c>
      <c r="C1972" t="s">
        <v>6646</v>
      </c>
      <c r="D1972" t="s">
        <v>6647</v>
      </c>
      <c r="E1972" t="s">
        <v>6648</v>
      </c>
      <c r="F1972" t="s">
        <v>6649</v>
      </c>
    </row>
    <row r="1973" spans="1:6" x14ac:dyDescent="0.25">
      <c r="A1973" t="s">
        <v>1679</v>
      </c>
      <c r="B1973" t="str">
        <f>"94059110      "</f>
        <v xml:space="preserve">94059110      </v>
      </c>
      <c r="C1973" t="s">
        <v>6650</v>
      </c>
      <c r="D1973" t="s">
        <v>6650</v>
      </c>
      <c r="E1973" t="s">
        <v>6651</v>
      </c>
      <c r="F1973" t="s">
        <v>6652</v>
      </c>
    </row>
    <row r="1974" spans="1:6" x14ac:dyDescent="0.25">
      <c r="A1974" t="s">
        <v>1679</v>
      </c>
      <c r="B1974" t="str">
        <f>"94059190      "</f>
        <v xml:space="preserve">94059190      </v>
      </c>
      <c r="C1974" t="s">
        <v>4175</v>
      </c>
      <c r="D1974" t="s">
        <v>4175</v>
      </c>
      <c r="E1974" t="s">
        <v>6653</v>
      </c>
      <c r="F1974" t="s">
        <v>6654</v>
      </c>
    </row>
    <row r="1975" spans="1:6" x14ac:dyDescent="0.25">
      <c r="A1975" t="s">
        <v>1679</v>
      </c>
      <c r="B1975" t="str">
        <f>"94059200      "</f>
        <v xml:space="preserve">94059200      </v>
      </c>
      <c r="C1975" t="s">
        <v>6630</v>
      </c>
      <c r="D1975" t="s">
        <v>6630</v>
      </c>
      <c r="E1975" t="s">
        <v>6655</v>
      </c>
      <c r="F1975" t="s">
        <v>6656</v>
      </c>
    </row>
    <row r="1976" spans="1:6" x14ac:dyDescent="0.25">
      <c r="A1976" t="s">
        <v>1679</v>
      </c>
      <c r="B1976" t="str">
        <f>"94059900      "</f>
        <v xml:space="preserve">94059900      </v>
      </c>
      <c r="C1976" t="s">
        <v>4175</v>
      </c>
      <c r="D1976" t="s">
        <v>4175</v>
      </c>
      <c r="E1976" t="s">
        <v>6657</v>
      </c>
      <c r="F1976" t="s">
        <v>6658</v>
      </c>
    </row>
    <row r="1977" spans="1:6" x14ac:dyDescent="0.25">
      <c r="A1977" t="s">
        <v>1679</v>
      </c>
      <c r="B1977" t="str">
        <f>"94061000      "</f>
        <v xml:space="preserve">94061000      </v>
      </c>
      <c r="C1977" t="s">
        <v>6659</v>
      </c>
      <c r="D1977" t="s">
        <v>6659</v>
      </c>
      <c r="E1977" t="s">
        <v>6660</v>
      </c>
      <c r="F1977" t="s">
        <v>6661</v>
      </c>
    </row>
    <row r="1978" spans="1:6" x14ac:dyDescent="0.25">
      <c r="A1978" t="s">
        <v>1679</v>
      </c>
      <c r="B1978" t="str">
        <f>"94069010      "</f>
        <v xml:space="preserve">94069010      </v>
      </c>
      <c r="C1978" t="s">
        <v>6662</v>
      </c>
      <c r="D1978" t="s">
        <v>6662</v>
      </c>
      <c r="E1978" t="s">
        <v>6663</v>
      </c>
      <c r="F1978" t="s">
        <v>6664</v>
      </c>
    </row>
    <row r="1979" spans="1:6" x14ac:dyDescent="0.25">
      <c r="A1979" t="s">
        <v>1679</v>
      </c>
      <c r="B1979" t="str">
        <f>"94069031      "</f>
        <v xml:space="preserve">94069031      </v>
      </c>
      <c r="C1979" t="s">
        <v>6665</v>
      </c>
      <c r="D1979" t="s">
        <v>6665</v>
      </c>
      <c r="E1979" t="s">
        <v>6666</v>
      </c>
      <c r="F1979" t="s">
        <v>6667</v>
      </c>
    </row>
    <row r="1980" spans="1:6" x14ac:dyDescent="0.25">
      <c r="A1980" t="s">
        <v>1679</v>
      </c>
      <c r="B1980" t="str">
        <f>"94069038      "</f>
        <v xml:space="preserve">94069038      </v>
      </c>
      <c r="C1980" t="s">
        <v>4175</v>
      </c>
      <c r="D1980" t="s">
        <v>4175</v>
      </c>
      <c r="E1980" t="s">
        <v>6668</v>
      </c>
      <c r="F1980" t="s">
        <v>6669</v>
      </c>
    </row>
    <row r="1981" spans="1:6" x14ac:dyDescent="0.25">
      <c r="A1981" t="s">
        <v>1679</v>
      </c>
      <c r="B1981" t="str">
        <f>"94069090      "</f>
        <v xml:space="preserve">94069090      </v>
      </c>
      <c r="C1981" t="s">
        <v>6670</v>
      </c>
      <c r="D1981" t="s">
        <v>6670</v>
      </c>
      <c r="E1981" t="s">
        <v>6671</v>
      </c>
      <c r="F1981" t="s">
        <v>6672</v>
      </c>
    </row>
    <row r="1982" spans="1:6" x14ac:dyDescent="0.25">
      <c r="A1982" t="s">
        <v>1679</v>
      </c>
      <c r="B1982" t="str">
        <f>"95042000      "</f>
        <v xml:space="preserve">95042000      </v>
      </c>
      <c r="C1982" t="s">
        <v>6673</v>
      </c>
      <c r="D1982" t="s">
        <v>6673</v>
      </c>
      <c r="E1982" t="s">
        <v>6674</v>
      </c>
      <c r="F1982" t="s">
        <v>6675</v>
      </c>
    </row>
    <row r="1983" spans="1:6" x14ac:dyDescent="0.25">
      <c r="A1983" t="s">
        <v>1679</v>
      </c>
      <c r="B1983" t="str">
        <f>"95043010      "</f>
        <v xml:space="preserve">95043010      </v>
      </c>
      <c r="C1983" t="s">
        <v>6676</v>
      </c>
      <c r="D1983" t="s">
        <v>6676</v>
      </c>
      <c r="E1983" t="s">
        <v>6677</v>
      </c>
      <c r="F1983" t="s">
        <v>6678</v>
      </c>
    </row>
    <row r="1984" spans="1:6" x14ac:dyDescent="0.25">
      <c r="A1984" t="s">
        <v>1679</v>
      </c>
      <c r="B1984" t="str">
        <f>"95043020      "</f>
        <v xml:space="preserve">95043020      </v>
      </c>
      <c r="C1984" t="s">
        <v>6679</v>
      </c>
      <c r="D1984" t="s">
        <v>6679</v>
      </c>
      <c r="E1984" t="s">
        <v>6680</v>
      </c>
      <c r="F1984" t="s">
        <v>6681</v>
      </c>
    </row>
    <row r="1985" spans="1:6" x14ac:dyDescent="0.25">
      <c r="A1985" t="s">
        <v>1679</v>
      </c>
      <c r="B1985" t="str">
        <f>"95043090      "</f>
        <v xml:space="preserve">95043090      </v>
      </c>
      <c r="C1985" t="s">
        <v>6111</v>
      </c>
      <c r="D1985" t="s">
        <v>6111</v>
      </c>
      <c r="E1985" t="s">
        <v>6682</v>
      </c>
      <c r="F1985" t="s">
        <v>6683</v>
      </c>
    </row>
    <row r="1986" spans="1:6" x14ac:dyDescent="0.25">
      <c r="A1986" t="s">
        <v>1679</v>
      </c>
      <c r="B1986" t="str">
        <f>"95044000      "</f>
        <v xml:space="preserve">95044000      </v>
      </c>
      <c r="C1986" t="s">
        <v>6684</v>
      </c>
      <c r="D1986" t="s">
        <v>6684</v>
      </c>
      <c r="E1986" t="s">
        <v>6685</v>
      </c>
      <c r="F1986" t="s">
        <v>6686</v>
      </c>
    </row>
    <row r="1987" spans="1:6" x14ac:dyDescent="0.25">
      <c r="A1987" t="s">
        <v>1679</v>
      </c>
      <c r="B1987" t="str">
        <f>"95045000      "</f>
        <v xml:space="preserve">95045000      </v>
      </c>
      <c r="C1987" t="s">
        <v>6687</v>
      </c>
      <c r="D1987" t="s">
        <v>6687</v>
      </c>
      <c r="E1987" t="s">
        <v>6688</v>
      </c>
      <c r="F1987" t="s">
        <v>6689</v>
      </c>
    </row>
    <row r="1988" spans="1:6" x14ac:dyDescent="0.25">
      <c r="A1988" t="s">
        <v>1679</v>
      </c>
      <c r="B1988" t="str">
        <f>"95049010      "</f>
        <v xml:space="preserve">95049010      </v>
      </c>
      <c r="C1988" t="s">
        <v>6690</v>
      </c>
      <c r="D1988" t="s">
        <v>6690</v>
      </c>
      <c r="E1988" t="s">
        <v>6691</v>
      </c>
      <c r="F1988" t="s">
        <v>6692</v>
      </c>
    </row>
    <row r="1989" spans="1:6" x14ac:dyDescent="0.25">
      <c r="A1989" t="s">
        <v>1679</v>
      </c>
      <c r="B1989" t="str">
        <f>"95049080      "</f>
        <v xml:space="preserve">95049080      </v>
      </c>
      <c r="C1989" t="s">
        <v>4175</v>
      </c>
      <c r="D1989" t="s">
        <v>4175</v>
      </c>
      <c r="E1989" t="s">
        <v>6693</v>
      </c>
      <c r="F1989" t="s">
        <v>6694</v>
      </c>
    </row>
    <row r="1990" spans="1:6" x14ac:dyDescent="0.25">
      <c r="A1990" t="s">
        <v>1679</v>
      </c>
      <c r="B1990" t="str">
        <f>"95081000      "</f>
        <v xml:space="preserve">95081000      </v>
      </c>
      <c r="C1990" t="s">
        <v>6695</v>
      </c>
      <c r="D1990" t="s">
        <v>6695</v>
      </c>
      <c r="E1990" t="s">
        <v>6696</v>
      </c>
      <c r="F1990" t="s">
        <v>6697</v>
      </c>
    </row>
    <row r="1991" spans="1:6" x14ac:dyDescent="0.25">
      <c r="A1991" t="s">
        <v>1679</v>
      </c>
      <c r="B1991" t="str">
        <f>"96190030      "</f>
        <v xml:space="preserve">96190030      </v>
      </c>
      <c r="C1991" t="s">
        <v>6698</v>
      </c>
      <c r="D1991" t="s">
        <v>6698</v>
      </c>
      <c r="E1991" t="s">
        <v>6699</v>
      </c>
      <c r="F1991" t="s">
        <v>6700</v>
      </c>
    </row>
    <row r="1992" spans="1:6" x14ac:dyDescent="0.25">
      <c r="A1992" t="s">
        <v>1679</v>
      </c>
      <c r="B1992" t="str">
        <f>"96190040      "</f>
        <v xml:space="preserve">96190040      </v>
      </c>
      <c r="C1992" t="s">
        <v>6701</v>
      </c>
      <c r="D1992" t="s">
        <v>6701</v>
      </c>
      <c r="E1992" t="s">
        <v>6702</v>
      </c>
      <c r="F1992" t="s">
        <v>6703</v>
      </c>
    </row>
    <row r="1993" spans="1:6" x14ac:dyDescent="0.25">
      <c r="A1993" t="s">
        <v>1679</v>
      </c>
      <c r="B1993" t="str">
        <f>"96190050      "</f>
        <v xml:space="preserve">96190050      </v>
      </c>
      <c r="C1993" t="s">
        <v>6704</v>
      </c>
      <c r="D1993" t="s">
        <v>6704</v>
      </c>
      <c r="E1993" t="s">
        <v>6705</v>
      </c>
      <c r="F1993" t="s">
        <v>6706</v>
      </c>
    </row>
    <row r="1994" spans="1:6" x14ac:dyDescent="0.25">
      <c r="A1994" t="s">
        <v>1679</v>
      </c>
      <c r="B1994" t="str">
        <f>"96190071      "</f>
        <v xml:space="preserve">96190071      </v>
      </c>
      <c r="C1994" t="s">
        <v>6707</v>
      </c>
      <c r="D1994" t="s">
        <v>6707</v>
      </c>
      <c r="E1994" t="s">
        <v>6708</v>
      </c>
      <c r="F1994" t="s">
        <v>6709</v>
      </c>
    </row>
    <row r="1995" spans="1:6" x14ac:dyDescent="0.25">
      <c r="A1995" t="s">
        <v>1679</v>
      </c>
      <c r="B1995" t="str">
        <f>"96190075      "</f>
        <v xml:space="preserve">96190075      </v>
      </c>
      <c r="C1995" t="s">
        <v>6710</v>
      </c>
      <c r="D1995" t="s">
        <v>6710</v>
      </c>
      <c r="E1995" t="s">
        <v>6711</v>
      </c>
      <c r="F1995" t="s">
        <v>6712</v>
      </c>
    </row>
    <row r="1996" spans="1:6" x14ac:dyDescent="0.25">
      <c r="A1996" t="s">
        <v>1679</v>
      </c>
      <c r="B1996" t="str">
        <f>"96190079      "</f>
        <v xml:space="preserve">96190079      </v>
      </c>
      <c r="C1996" t="s">
        <v>4175</v>
      </c>
      <c r="D1996" t="s">
        <v>4175</v>
      </c>
      <c r="E1996" t="s">
        <v>6713</v>
      </c>
      <c r="F1996" t="s">
        <v>6714</v>
      </c>
    </row>
    <row r="1997" spans="1:6" x14ac:dyDescent="0.25">
      <c r="A1997" t="s">
        <v>1679</v>
      </c>
      <c r="B1997" t="str">
        <f>"96190081      "</f>
        <v xml:space="preserve">96190081      </v>
      </c>
      <c r="C1997" t="s">
        <v>6715</v>
      </c>
      <c r="D1997" t="s">
        <v>6715</v>
      </c>
      <c r="E1997" t="s">
        <v>6716</v>
      </c>
      <c r="F1997" t="s">
        <v>6717</v>
      </c>
    </row>
    <row r="1998" spans="1:6" x14ac:dyDescent="0.25">
      <c r="A1998" t="s">
        <v>1679</v>
      </c>
      <c r="B1998" t="str">
        <f>"96190089      "</f>
        <v xml:space="preserve">96190089      </v>
      </c>
      <c r="C1998" t="s">
        <v>6718</v>
      </c>
      <c r="D1998" t="s">
        <v>6718</v>
      </c>
      <c r="E1998" t="s">
        <v>6719</v>
      </c>
      <c r="F1998" t="s">
        <v>6720</v>
      </c>
    </row>
    <row r="1999" spans="1:6" x14ac:dyDescent="0.25">
      <c r="A1999" t="s">
        <v>1679</v>
      </c>
      <c r="B1999" t="str">
        <f>"99190000      "</f>
        <v xml:space="preserve">99190000      </v>
      </c>
      <c r="C1999" t="s">
        <v>6721</v>
      </c>
      <c r="D1999" t="s">
        <v>6722</v>
      </c>
      <c r="E1999" t="s">
        <v>6723</v>
      </c>
      <c r="F1999" t="s">
        <v>6724</v>
      </c>
    </row>
    <row r="2000" spans="1:6" x14ac:dyDescent="0.25">
      <c r="A2000" t="s">
        <v>1679</v>
      </c>
      <c r="B2000" t="str">
        <f>"99302400      "</f>
        <v xml:space="preserve">99302400      </v>
      </c>
      <c r="C2000" t="s">
        <v>6725</v>
      </c>
      <c r="D2000" t="s">
        <v>6725</v>
      </c>
      <c r="E2000" t="s">
        <v>6726</v>
      </c>
      <c r="F2000" t="s">
        <v>6727</v>
      </c>
    </row>
    <row r="2001" spans="1:6" x14ac:dyDescent="0.25">
      <c r="A2001" t="s">
        <v>1679</v>
      </c>
      <c r="B2001" t="str">
        <f>"99302700      "</f>
        <v xml:space="preserve">99302700      </v>
      </c>
      <c r="C2001" t="s">
        <v>6728</v>
      </c>
      <c r="D2001" t="s">
        <v>6728</v>
      </c>
      <c r="E2001" t="s">
        <v>6729</v>
      </c>
      <c r="F2001" t="s">
        <v>6730</v>
      </c>
    </row>
    <row r="2002" spans="1:6" x14ac:dyDescent="0.25">
      <c r="A2002" t="s">
        <v>1679</v>
      </c>
      <c r="B2002" t="str">
        <f>"99309900      "</f>
        <v xml:space="preserve">99309900      </v>
      </c>
      <c r="C2002" t="s">
        <v>6731</v>
      </c>
      <c r="D2002" t="s">
        <v>6731</v>
      </c>
      <c r="E2002" t="s">
        <v>6732</v>
      </c>
      <c r="F2002" t="s">
        <v>6733</v>
      </c>
    </row>
    <row r="2003" spans="1:6" x14ac:dyDescent="0.25">
      <c r="A2003" t="s">
        <v>1679</v>
      </c>
      <c r="B2003" t="str">
        <f>"99312400      "</f>
        <v xml:space="preserve">99312400      </v>
      </c>
      <c r="C2003" t="s">
        <v>6725</v>
      </c>
      <c r="D2003" t="s">
        <v>6725</v>
      </c>
      <c r="E2003" t="s">
        <v>6734</v>
      </c>
      <c r="F2003" t="s">
        <v>6735</v>
      </c>
    </row>
    <row r="2004" spans="1:6" x14ac:dyDescent="0.25">
      <c r="A2004" t="s">
        <v>1679</v>
      </c>
      <c r="B2004" t="str">
        <f>"99312700      "</f>
        <v xml:space="preserve">99312700      </v>
      </c>
      <c r="C2004" t="s">
        <v>6728</v>
      </c>
      <c r="D2004" t="s">
        <v>6728</v>
      </c>
      <c r="E2004" t="s">
        <v>6736</v>
      </c>
      <c r="F2004" t="s">
        <v>6737</v>
      </c>
    </row>
    <row r="2005" spans="1:6" x14ac:dyDescent="0.25">
      <c r="A2005" t="s">
        <v>1679</v>
      </c>
      <c r="B2005" t="str">
        <f>"99319900      "</f>
        <v xml:space="preserve">99319900      </v>
      </c>
      <c r="C2005" t="s">
        <v>6731</v>
      </c>
      <c r="D2005" t="s">
        <v>6731</v>
      </c>
      <c r="E2005" t="s">
        <v>6738</v>
      </c>
      <c r="F2005" t="s">
        <v>6739</v>
      </c>
    </row>
    <row r="2006" spans="1:6" x14ac:dyDescent="0.25">
      <c r="A2006" t="s">
        <v>1679</v>
      </c>
      <c r="B2006" t="str">
        <f>"99500000      "</f>
        <v xml:space="preserve">99500000      </v>
      </c>
      <c r="C2006" t="s">
        <v>6740</v>
      </c>
      <c r="D2006" t="s">
        <v>6740</v>
      </c>
      <c r="E2006" t="s">
        <v>6741</v>
      </c>
      <c r="F2006" t="s">
        <v>6742</v>
      </c>
    </row>
    <row r="2007" spans="1:6" x14ac:dyDescent="0.25">
      <c r="A2007" t="s">
        <v>1677</v>
      </c>
      <c r="B2007" t="str">
        <f>"03023110      "</f>
        <v xml:space="preserve">03023110      </v>
      </c>
      <c r="C2007" t="s">
        <v>6743</v>
      </c>
      <c r="D2007" t="s">
        <v>6743</v>
      </c>
      <c r="E2007" t="s">
        <v>6744</v>
      </c>
      <c r="F2007" t="s">
        <v>6745</v>
      </c>
    </row>
    <row r="2008" spans="1:6" x14ac:dyDescent="0.25">
      <c r="A2008" t="s">
        <v>1677</v>
      </c>
      <c r="B2008" t="str">
        <f>"03023190      "</f>
        <v xml:space="preserve">03023190      </v>
      </c>
      <c r="C2008" t="s">
        <v>6746</v>
      </c>
      <c r="D2008" t="s">
        <v>6746</v>
      </c>
      <c r="E2008" t="s">
        <v>6747</v>
      </c>
      <c r="F2008" t="s">
        <v>6748</v>
      </c>
    </row>
    <row r="2009" spans="1:6" x14ac:dyDescent="0.25">
      <c r="A2009" t="s">
        <v>1677</v>
      </c>
      <c r="B2009" t="str">
        <f>"03023210      "</f>
        <v xml:space="preserve">03023210      </v>
      </c>
      <c r="C2009" t="s">
        <v>6743</v>
      </c>
      <c r="D2009" t="s">
        <v>6743</v>
      </c>
      <c r="E2009" t="s">
        <v>6749</v>
      </c>
      <c r="F2009" t="s">
        <v>6750</v>
      </c>
    </row>
    <row r="2010" spans="1:6" x14ac:dyDescent="0.25">
      <c r="A2010" t="s">
        <v>1677</v>
      </c>
      <c r="B2010" t="str">
        <f>"03023290      "</f>
        <v xml:space="preserve">03023290      </v>
      </c>
      <c r="C2010" t="s">
        <v>6746</v>
      </c>
      <c r="D2010" t="s">
        <v>6746</v>
      </c>
      <c r="E2010" t="s">
        <v>6751</v>
      </c>
      <c r="F2010" t="s">
        <v>6752</v>
      </c>
    </row>
    <row r="2011" spans="1:6" x14ac:dyDescent="0.25">
      <c r="A2011" t="s">
        <v>1677</v>
      </c>
      <c r="B2011" t="str">
        <f>"03023310      "</f>
        <v xml:space="preserve">03023310      </v>
      </c>
      <c r="C2011" t="s">
        <v>6743</v>
      </c>
      <c r="D2011" t="s">
        <v>6743</v>
      </c>
      <c r="E2011" t="s">
        <v>6753</v>
      </c>
      <c r="F2011" t="s">
        <v>6754</v>
      </c>
    </row>
    <row r="2012" spans="1:6" x14ac:dyDescent="0.25">
      <c r="A2012" t="s">
        <v>1677</v>
      </c>
      <c r="B2012" t="str">
        <f>"03023390      "</f>
        <v xml:space="preserve">03023390      </v>
      </c>
      <c r="C2012" t="s">
        <v>6746</v>
      </c>
      <c r="D2012" t="s">
        <v>6746</v>
      </c>
      <c r="E2012" t="s">
        <v>6755</v>
      </c>
      <c r="F2012" t="s">
        <v>6756</v>
      </c>
    </row>
    <row r="2013" spans="1:6" x14ac:dyDescent="0.25">
      <c r="A2013" t="s">
        <v>1677</v>
      </c>
      <c r="B2013" t="str">
        <f>"03023410      "</f>
        <v xml:space="preserve">03023410      </v>
      </c>
      <c r="C2013" t="s">
        <v>6743</v>
      </c>
      <c r="D2013" t="s">
        <v>6743</v>
      </c>
      <c r="E2013" t="s">
        <v>6757</v>
      </c>
      <c r="F2013" t="s">
        <v>6758</v>
      </c>
    </row>
    <row r="2014" spans="1:6" x14ac:dyDescent="0.25">
      <c r="A2014" t="s">
        <v>1677</v>
      </c>
      <c r="B2014" t="str">
        <f>"03023490      "</f>
        <v xml:space="preserve">03023490      </v>
      </c>
      <c r="C2014" t="s">
        <v>6746</v>
      </c>
      <c r="D2014" t="s">
        <v>6746</v>
      </c>
      <c r="E2014" t="s">
        <v>6759</v>
      </c>
      <c r="F2014" t="s">
        <v>6760</v>
      </c>
    </row>
    <row r="2015" spans="1:6" x14ac:dyDescent="0.25">
      <c r="A2015" t="s">
        <v>1677</v>
      </c>
      <c r="B2015" t="str">
        <f>"03023511      "</f>
        <v xml:space="preserve">03023511      </v>
      </c>
      <c r="C2015" t="s">
        <v>6743</v>
      </c>
      <c r="D2015" t="s">
        <v>6743</v>
      </c>
      <c r="E2015" t="s">
        <v>6761</v>
      </c>
      <c r="F2015" t="s">
        <v>6762</v>
      </c>
    </row>
    <row r="2016" spans="1:6" x14ac:dyDescent="0.25">
      <c r="A2016" t="s">
        <v>1677</v>
      </c>
      <c r="B2016" t="str">
        <f>"03023519      "</f>
        <v xml:space="preserve">03023519      </v>
      </c>
      <c r="C2016" t="s">
        <v>6746</v>
      </c>
      <c r="D2016" t="s">
        <v>6746</v>
      </c>
      <c r="E2016" t="s">
        <v>6763</v>
      </c>
      <c r="F2016" t="s">
        <v>6764</v>
      </c>
    </row>
    <row r="2017" spans="1:6" x14ac:dyDescent="0.25">
      <c r="A2017" t="s">
        <v>1677</v>
      </c>
      <c r="B2017" t="str">
        <f>"03023591      "</f>
        <v xml:space="preserve">03023591      </v>
      </c>
      <c r="C2017" t="s">
        <v>6743</v>
      </c>
      <c r="D2017" t="s">
        <v>6743</v>
      </c>
      <c r="E2017" t="s">
        <v>6765</v>
      </c>
      <c r="F2017" t="s">
        <v>6766</v>
      </c>
    </row>
    <row r="2018" spans="1:6" x14ac:dyDescent="0.25">
      <c r="A2018" t="s">
        <v>1677</v>
      </c>
      <c r="B2018" t="str">
        <f>"03023599      "</f>
        <v xml:space="preserve">03023599      </v>
      </c>
      <c r="C2018" t="s">
        <v>6746</v>
      </c>
      <c r="D2018" t="s">
        <v>6746</v>
      </c>
      <c r="E2018" t="s">
        <v>6767</v>
      </c>
      <c r="F2018" t="s">
        <v>6768</v>
      </c>
    </row>
    <row r="2019" spans="1:6" x14ac:dyDescent="0.25">
      <c r="A2019" t="s">
        <v>1677</v>
      </c>
      <c r="B2019" t="str">
        <f>"03023610      "</f>
        <v xml:space="preserve">03023610      </v>
      </c>
      <c r="C2019" t="s">
        <v>6743</v>
      </c>
      <c r="D2019" t="s">
        <v>6743</v>
      </c>
      <c r="E2019" t="s">
        <v>6769</v>
      </c>
      <c r="F2019" t="s">
        <v>6770</v>
      </c>
    </row>
    <row r="2020" spans="1:6" x14ac:dyDescent="0.25">
      <c r="A2020" t="s">
        <v>1677</v>
      </c>
      <c r="B2020" t="str">
        <f>"03023690      "</f>
        <v xml:space="preserve">03023690      </v>
      </c>
      <c r="C2020" t="s">
        <v>6746</v>
      </c>
      <c r="D2020" t="s">
        <v>6746</v>
      </c>
      <c r="E2020" t="s">
        <v>6771</v>
      </c>
      <c r="F2020" t="s">
        <v>6772</v>
      </c>
    </row>
    <row r="2021" spans="1:6" x14ac:dyDescent="0.25">
      <c r="A2021" t="s">
        <v>1677</v>
      </c>
      <c r="B2021" t="str">
        <f>"03023920      "</f>
        <v xml:space="preserve">03023920      </v>
      </c>
      <c r="C2021" t="s">
        <v>6743</v>
      </c>
      <c r="D2021" t="s">
        <v>6743</v>
      </c>
      <c r="E2021" t="s">
        <v>6773</v>
      </c>
      <c r="F2021" t="s">
        <v>6774</v>
      </c>
    </row>
    <row r="2022" spans="1:6" x14ac:dyDescent="0.25">
      <c r="A2022" t="s">
        <v>1677</v>
      </c>
      <c r="B2022" t="str">
        <f>"03023980      "</f>
        <v xml:space="preserve">03023980      </v>
      </c>
      <c r="C2022" t="s">
        <v>6775</v>
      </c>
      <c r="D2022" t="s">
        <v>6775</v>
      </c>
      <c r="E2022" t="s">
        <v>6776</v>
      </c>
      <c r="F2022" t="s">
        <v>6777</v>
      </c>
    </row>
    <row r="2023" spans="1:6" x14ac:dyDescent="0.25">
      <c r="A2023" t="s">
        <v>1677</v>
      </c>
      <c r="B2023" t="str">
        <f>"03028921      "</f>
        <v xml:space="preserve">03028921      </v>
      </c>
      <c r="C2023" t="s">
        <v>6743</v>
      </c>
      <c r="D2023" t="s">
        <v>6743</v>
      </c>
      <c r="E2023" t="s">
        <v>6778</v>
      </c>
      <c r="F2023" t="s">
        <v>6779</v>
      </c>
    </row>
    <row r="2024" spans="1:6" x14ac:dyDescent="0.25">
      <c r="A2024" t="s">
        <v>1677</v>
      </c>
      <c r="B2024" t="str">
        <f>"03028929      "</f>
        <v xml:space="preserve">03028929      </v>
      </c>
      <c r="C2024" t="s">
        <v>6775</v>
      </c>
      <c r="D2024" t="s">
        <v>6775</v>
      </c>
      <c r="E2024" t="s">
        <v>6780</v>
      </c>
      <c r="F2024" t="s">
        <v>6781</v>
      </c>
    </row>
    <row r="2025" spans="1:6" x14ac:dyDescent="0.25">
      <c r="A2025" t="s">
        <v>1677</v>
      </c>
      <c r="B2025" t="str">
        <f>"03034110      "</f>
        <v xml:space="preserve">03034110      </v>
      </c>
      <c r="C2025" t="s">
        <v>6743</v>
      </c>
      <c r="D2025" t="s">
        <v>6743</v>
      </c>
      <c r="E2025" t="s">
        <v>6782</v>
      </c>
      <c r="F2025" t="s">
        <v>6783</v>
      </c>
    </row>
    <row r="2026" spans="1:6" x14ac:dyDescent="0.25">
      <c r="A2026" t="s">
        <v>1677</v>
      </c>
      <c r="B2026" t="str">
        <f>"03034190      "</f>
        <v xml:space="preserve">03034190      </v>
      </c>
      <c r="C2026" t="s">
        <v>6746</v>
      </c>
      <c r="D2026" t="s">
        <v>6746</v>
      </c>
      <c r="E2026" t="s">
        <v>6784</v>
      </c>
      <c r="F2026" t="s">
        <v>6785</v>
      </c>
    </row>
    <row r="2027" spans="1:6" x14ac:dyDescent="0.25">
      <c r="A2027" t="s">
        <v>1677</v>
      </c>
      <c r="B2027" t="str">
        <f>"03034220      "</f>
        <v xml:space="preserve">03034220      </v>
      </c>
      <c r="C2027" t="s">
        <v>6743</v>
      </c>
      <c r="D2027" t="s">
        <v>6743</v>
      </c>
      <c r="E2027" t="s">
        <v>6786</v>
      </c>
      <c r="F2027" t="s">
        <v>6787</v>
      </c>
    </row>
    <row r="2028" spans="1:6" x14ac:dyDescent="0.25">
      <c r="A2028" t="s">
        <v>1677</v>
      </c>
      <c r="B2028" t="str">
        <f>"03034290      "</f>
        <v xml:space="preserve">03034290      </v>
      </c>
      <c r="C2028" t="s">
        <v>6746</v>
      </c>
      <c r="D2028" t="s">
        <v>6746</v>
      </c>
      <c r="E2028" t="s">
        <v>6788</v>
      </c>
      <c r="F2028" t="s">
        <v>6789</v>
      </c>
    </row>
    <row r="2029" spans="1:6" x14ac:dyDescent="0.25">
      <c r="A2029" t="s">
        <v>1677</v>
      </c>
      <c r="B2029" t="str">
        <f>"03034310      "</f>
        <v xml:space="preserve">03034310      </v>
      </c>
      <c r="C2029" t="s">
        <v>6743</v>
      </c>
      <c r="D2029" t="s">
        <v>6743</v>
      </c>
      <c r="E2029" t="s">
        <v>6790</v>
      </c>
      <c r="F2029" t="s">
        <v>6791</v>
      </c>
    </row>
    <row r="2030" spans="1:6" x14ac:dyDescent="0.25">
      <c r="A2030" t="s">
        <v>1677</v>
      </c>
      <c r="B2030" t="str">
        <f>"03034390      "</f>
        <v xml:space="preserve">03034390      </v>
      </c>
      <c r="C2030" t="s">
        <v>6746</v>
      </c>
      <c r="D2030" t="s">
        <v>6746</v>
      </c>
      <c r="E2030" t="s">
        <v>6792</v>
      </c>
      <c r="F2030" t="s">
        <v>6793</v>
      </c>
    </row>
    <row r="2031" spans="1:6" x14ac:dyDescent="0.25">
      <c r="A2031" t="s">
        <v>1677</v>
      </c>
      <c r="B2031" t="str">
        <f>"03034410      "</f>
        <v xml:space="preserve">03034410      </v>
      </c>
      <c r="C2031" t="s">
        <v>6743</v>
      </c>
      <c r="D2031" t="s">
        <v>6743</v>
      </c>
      <c r="E2031" t="s">
        <v>6794</v>
      </c>
      <c r="F2031" t="s">
        <v>6795</v>
      </c>
    </row>
    <row r="2032" spans="1:6" x14ac:dyDescent="0.25">
      <c r="A2032" t="s">
        <v>1677</v>
      </c>
      <c r="B2032" t="str">
        <f>"03034490      "</f>
        <v xml:space="preserve">03034490      </v>
      </c>
      <c r="C2032" t="s">
        <v>6746</v>
      </c>
      <c r="D2032" t="s">
        <v>6746</v>
      </c>
      <c r="E2032" t="s">
        <v>6796</v>
      </c>
      <c r="F2032" t="s">
        <v>6797</v>
      </c>
    </row>
    <row r="2033" spans="1:6" x14ac:dyDescent="0.25">
      <c r="A2033" t="s">
        <v>1677</v>
      </c>
      <c r="B2033" t="str">
        <f>"03034512      "</f>
        <v xml:space="preserve">03034512      </v>
      </c>
      <c r="C2033" t="s">
        <v>6743</v>
      </c>
      <c r="D2033" t="s">
        <v>6743</v>
      </c>
      <c r="E2033" t="s">
        <v>6798</v>
      </c>
      <c r="F2033" t="s">
        <v>6799</v>
      </c>
    </row>
    <row r="2034" spans="1:6" x14ac:dyDescent="0.25">
      <c r="A2034" t="s">
        <v>1677</v>
      </c>
      <c r="B2034" t="str">
        <f>"03034518      "</f>
        <v xml:space="preserve">03034518      </v>
      </c>
      <c r="C2034" t="s">
        <v>6746</v>
      </c>
      <c r="D2034" t="s">
        <v>6746</v>
      </c>
      <c r="E2034" t="s">
        <v>6800</v>
      </c>
      <c r="F2034" t="s">
        <v>6801</v>
      </c>
    </row>
    <row r="2035" spans="1:6" x14ac:dyDescent="0.25">
      <c r="A2035" t="s">
        <v>1677</v>
      </c>
      <c r="B2035" t="str">
        <f>"03034591      "</f>
        <v xml:space="preserve">03034591      </v>
      </c>
      <c r="C2035" t="s">
        <v>6743</v>
      </c>
      <c r="D2035" t="s">
        <v>6743</v>
      </c>
      <c r="E2035" t="s">
        <v>6802</v>
      </c>
      <c r="F2035" t="s">
        <v>6803</v>
      </c>
    </row>
    <row r="2036" spans="1:6" x14ac:dyDescent="0.25">
      <c r="A2036" t="s">
        <v>1677</v>
      </c>
      <c r="B2036" t="str">
        <f>"03034599      "</f>
        <v xml:space="preserve">03034599      </v>
      </c>
      <c r="C2036" t="s">
        <v>6746</v>
      </c>
      <c r="D2036" t="s">
        <v>6746</v>
      </c>
      <c r="E2036" t="s">
        <v>6804</v>
      </c>
      <c r="F2036" t="s">
        <v>6805</v>
      </c>
    </row>
    <row r="2037" spans="1:6" x14ac:dyDescent="0.25">
      <c r="A2037" t="s">
        <v>1677</v>
      </c>
      <c r="B2037" t="str">
        <f>"03034610      "</f>
        <v xml:space="preserve">03034610      </v>
      </c>
      <c r="C2037" t="s">
        <v>6743</v>
      </c>
      <c r="D2037" t="s">
        <v>6743</v>
      </c>
      <c r="E2037" t="s">
        <v>6806</v>
      </c>
      <c r="F2037" t="s">
        <v>6807</v>
      </c>
    </row>
    <row r="2038" spans="1:6" x14ac:dyDescent="0.25">
      <c r="A2038" t="s">
        <v>1677</v>
      </c>
      <c r="B2038" t="str">
        <f>"03034690      "</f>
        <v xml:space="preserve">03034690      </v>
      </c>
      <c r="C2038" t="s">
        <v>6746</v>
      </c>
      <c r="D2038" t="s">
        <v>6746</v>
      </c>
      <c r="E2038" t="s">
        <v>6808</v>
      </c>
      <c r="F2038" t="s">
        <v>6809</v>
      </c>
    </row>
    <row r="2039" spans="1:6" x14ac:dyDescent="0.25">
      <c r="A2039" t="s">
        <v>1677</v>
      </c>
      <c r="B2039" t="str">
        <f>"03034920      "</f>
        <v xml:space="preserve">03034920      </v>
      </c>
      <c r="C2039" t="s">
        <v>6743</v>
      </c>
      <c r="D2039" t="s">
        <v>6743</v>
      </c>
      <c r="E2039" t="s">
        <v>6810</v>
      </c>
      <c r="F2039" t="s">
        <v>6811</v>
      </c>
    </row>
    <row r="2040" spans="1:6" x14ac:dyDescent="0.25">
      <c r="A2040" t="s">
        <v>1677</v>
      </c>
      <c r="B2040" t="str">
        <f>"03034985      "</f>
        <v xml:space="preserve">03034985      </v>
      </c>
      <c r="C2040" t="s">
        <v>6775</v>
      </c>
      <c r="D2040" t="s">
        <v>6775</v>
      </c>
      <c r="E2040" t="s">
        <v>6812</v>
      </c>
      <c r="F2040" t="s">
        <v>6813</v>
      </c>
    </row>
    <row r="2041" spans="1:6" x14ac:dyDescent="0.25">
      <c r="A2041" t="s">
        <v>1677</v>
      </c>
      <c r="B2041" t="str">
        <f>"03038921      "</f>
        <v xml:space="preserve">03038921      </v>
      </c>
      <c r="C2041" t="s">
        <v>6743</v>
      </c>
      <c r="D2041" t="s">
        <v>6743</v>
      </c>
      <c r="E2041" t="s">
        <v>6814</v>
      </c>
      <c r="F2041" t="s">
        <v>6815</v>
      </c>
    </row>
    <row r="2042" spans="1:6" x14ac:dyDescent="0.25">
      <c r="A2042" t="s">
        <v>1677</v>
      </c>
      <c r="B2042" t="str">
        <f>"03038929      "</f>
        <v xml:space="preserve">03038929      </v>
      </c>
      <c r="C2042" t="s">
        <v>6775</v>
      </c>
      <c r="D2042" t="s">
        <v>6775</v>
      </c>
      <c r="E2042" t="s">
        <v>6816</v>
      </c>
      <c r="F2042" t="s">
        <v>6817</v>
      </c>
    </row>
    <row r="2043" spans="1:6" x14ac:dyDescent="0.25">
      <c r="A2043" t="s">
        <v>1677</v>
      </c>
      <c r="B2043" t="str">
        <f>"03048700      "</f>
        <v xml:space="preserve">03048700      </v>
      </c>
      <c r="C2043" t="s">
        <v>6818</v>
      </c>
      <c r="D2043" t="s">
        <v>6819</v>
      </c>
      <c r="E2043" t="s">
        <v>6820</v>
      </c>
      <c r="F2043" t="s">
        <v>6821</v>
      </c>
    </row>
    <row r="2044" spans="1:6" x14ac:dyDescent="0.25">
      <c r="A2044" t="s">
        <v>1677</v>
      </c>
      <c r="B2044" t="str">
        <f>"03048930      "</f>
        <v xml:space="preserve">03048930      </v>
      </c>
      <c r="C2044" t="s">
        <v>6822</v>
      </c>
      <c r="D2044" t="s">
        <v>6823</v>
      </c>
      <c r="E2044" t="s">
        <v>6824</v>
      </c>
      <c r="F2044" t="s">
        <v>6825</v>
      </c>
    </row>
    <row r="2045" spans="1:6" x14ac:dyDescent="0.25">
      <c r="A2045" t="s">
        <v>1677</v>
      </c>
      <c r="B2045" t="str">
        <f>"03052000      "</f>
        <v xml:space="preserve">03052000      </v>
      </c>
      <c r="C2045" t="s">
        <v>6826</v>
      </c>
      <c r="D2045" t="s">
        <v>6826</v>
      </c>
      <c r="E2045" t="s">
        <v>6827</v>
      </c>
      <c r="F2045" t="s">
        <v>6828</v>
      </c>
    </row>
    <row r="2046" spans="1:6" x14ac:dyDescent="0.25">
      <c r="A2046" t="s">
        <v>1677</v>
      </c>
      <c r="B2046" t="str">
        <f>"03053100      "</f>
        <v xml:space="preserve">03053100      </v>
      </c>
      <c r="C2046" t="s">
        <v>6829</v>
      </c>
      <c r="D2046" t="s">
        <v>6829</v>
      </c>
      <c r="E2046" t="s">
        <v>6830</v>
      </c>
      <c r="F2046" t="s">
        <v>6831</v>
      </c>
    </row>
    <row r="2047" spans="1:6" x14ac:dyDescent="0.25">
      <c r="A2047" t="s">
        <v>1677</v>
      </c>
      <c r="B2047" t="str">
        <f>"03053211      "</f>
        <v xml:space="preserve">03053211      </v>
      </c>
      <c r="C2047" t="s">
        <v>6832</v>
      </c>
      <c r="D2047" t="s">
        <v>6832</v>
      </c>
      <c r="E2047" t="s">
        <v>6833</v>
      </c>
      <c r="F2047" t="s">
        <v>6834</v>
      </c>
    </row>
    <row r="2048" spans="1:6" x14ac:dyDescent="0.25">
      <c r="A2048" t="s">
        <v>1677</v>
      </c>
      <c r="B2048" t="str">
        <f>"03053219      "</f>
        <v xml:space="preserve">03053219      </v>
      </c>
      <c r="C2048" t="s">
        <v>6775</v>
      </c>
      <c r="D2048" t="s">
        <v>6775</v>
      </c>
      <c r="E2048" t="s">
        <v>6835</v>
      </c>
      <c r="F2048" t="s">
        <v>6836</v>
      </c>
    </row>
    <row r="2049" spans="1:6" x14ac:dyDescent="0.25">
      <c r="A2049" t="s">
        <v>1677</v>
      </c>
      <c r="B2049" t="str">
        <f>"03053290      "</f>
        <v xml:space="preserve">03053290      </v>
      </c>
      <c r="C2049" t="s">
        <v>6775</v>
      </c>
      <c r="D2049" t="s">
        <v>6775</v>
      </c>
      <c r="E2049" t="s">
        <v>6837</v>
      </c>
      <c r="F2049" t="s">
        <v>6838</v>
      </c>
    </row>
    <row r="2050" spans="1:6" x14ac:dyDescent="0.25">
      <c r="A2050" t="s">
        <v>1677</v>
      </c>
      <c r="B2050" t="str">
        <f>"03053910      "</f>
        <v xml:space="preserve">03053910      </v>
      </c>
      <c r="C2050" t="s">
        <v>6839</v>
      </c>
      <c r="D2050" t="s">
        <v>6839</v>
      </c>
      <c r="E2050" t="s">
        <v>6840</v>
      </c>
      <c r="F2050" t="s">
        <v>6841</v>
      </c>
    </row>
    <row r="2051" spans="1:6" x14ac:dyDescent="0.25">
      <c r="A2051" t="s">
        <v>1677</v>
      </c>
      <c r="B2051" t="str">
        <f>"03053950      "</f>
        <v xml:space="preserve">03053950      </v>
      </c>
      <c r="C2051" t="s">
        <v>6842</v>
      </c>
      <c r="D2051" t="s">
        <v>6842</v>
      </c>
      <c r="E2051" t="s">
        <v>6843</v>
      </c>
      <c r="F2051" t="s">
        <v>6844</v>
      </c>
    </row>
    <row r="2052" spans="1:6" x14ac:dyDescent="0.25">
      <c r="A2052" t="s">
        <v>1677</v>
      </c>
      <c r="B2052" t="str">
        <f>"03053990      "</f>
        <v xml:space="preserve">03053990      </v>
      </c>
      <c r="C2052" t="s">
        <v>6775</v>
      </c>
      <c r="D2052" t="s">
        <v>6775</v>
      </c>
      <c r="E2052" t="s">
        <v>6845</v>
      </c>
      <c r="F2052" t="s">
        <v>6846</v>
      </c>
    </row>
    <row r="2053" spans="1:6" x14ac:dyDescent="0.25">
      <c r="A2053" t="s">
        <v>1677</v>
      </c>
      <c r="B2053" t="str">
        <f>"03054100      "</f>
        <v xml:space="preserve">03054100      </v>
      </c>
      <c r="C2053" t="s">
        <v>6847</v>
      </c>
      <c r="D2053" t="s">
        <v>6847</v>
      </c>
      <c r="E2053" t="s">
        <v>6848</v>
      </c>
      <c r="F2053" t="s">
        <v>6849</v>
      </c>
    </row>
    <row r="2054" spans="1:6" x14ac:dyDescent="0.25">
      <c r="A2054" t="s">
        <v>1677</v>
      </c>
      <c r="B2054" t="str">
        <f>"03054200      "</f>
        <v xml:space="preserve">03054200      </v>
      </c>
      <c r="C2054" t="s">
        <v>6850</v>
      </c>
      <c r="D2054" t="s">
        <v>6850</v>
      </c>
      <c r="E2054" t="s">
        <v>6851</v>
      </c>
      <c r="F2054" t="s">
        <v>6852</v>
      </c>
    </row>
    <row r="2055" spans="1:6" x14ac:dyDescent="0.25">
      <c r="A2055" t="s">
        <v>1677</v>
      </c>
      <c r="B2055" t="str">
        <f>"03054300      "</f>
        <v xml:space="preserve">03054300      </v>
      </c>
      <c r="C2055" t="s">
        <v>6853</v>
      </c>
      <c r="D2055" t="s">
        <v>6853</v>
      </c>
      <c r="E2055" t="s">
        <v>6854</v>
      </c>
      <c r="F2055" t="s">
        <v>6855</v>
      </c>
    </row>
    <row r="2056" spans="1:6" x14ac:dyDescent="0.25">
      <c r="A2056" t="s">
        <v>1677</v>
      </c>
      <c r="B2056" t="str">
        <f>"03054410      "</f>
        <v xml:space="preserve">03054410      </v>
      </c>
      <c r="C2056" t="s">
        <v>6856</v>
      </c>
      <c r="D2056" t="s">
        <v>6856</v>
      </c>
      <c r="E2056" t="s">
        <v>6857</v>
      </c>
      <c r="F2056" t="s">
        <v>6858</v>
      </c>
    </row>
    <row r="2057" spans="1:6" x14ac:dyDescent="0.25">
      <c r="A2057" t="s">
        <v>1677</v>
      </c>
      <c r="B2057" t="str">
        <f>"03054490      "</f>
        <v xml:space="preserve">03054490      </v>
      </c>
      <c r="C2057" t="s">
        <v>6775</v>
      </c>
      <c r="D2057" t="s">
        <v>6775</v>
      </c>
      <c r="E2057" t="s">
        <v>6859</v>
      </c>
      <c r="F2057" t="s">
        <v>6860</v>
      </c>
    </row>
    <row r="2058" spans="1:6" x14ac:dyDescent="0.25">
      <c r="A2058" t="s">
        <v>1677</v>
      </c>
      <c r="B2058" t="str">
        <f>"03054910      "</f>
        <v xml:space="preserve">03054910      </v>
      </c>
      <c r="C2058" t="s">
        <v>6861</v>
      </c>
      <c r="D2058" t="s">
        <v>6861</v>
      </c>
      <c r="E2058" t="s">
        <v>6862</v>
      </c>
      <c r="F2058" t="s">
        <v>6863</v>
      </c>
    </row>
    <row r="2059" spans="1:6" x14ac:dyDescent="0.25">
      <c r="A2059" t="s">
        <v>1677</v>
      </c>
      <c r="B2059" t="str">
        <f>"03054920      "</f>
        <v xml:space="preserve">03054920      </v>
      </c>
      <c r="C2059" t="s">
        <v>6864</v>
      </c>
      <c r="D2059" t="s">
        <v>6864</v>
      </c>
      <c r="E2059" t="s">
        <v>6865</v>
      </c>
      <c r="F2059" t="s">
        <v>6866</v>
      </c>
    </row>
    <row r="2060" spans="1:6" x14ac:dyDescent="0.25">
      <c r="A2060" t="s">
        <v>1677</v>
      </c>
      <c r="B2060" t="str">
        <f>"03054930      "</f>
        <v xml:space="preserve">03054930      </v>
      </c>
      <c r="C2060" t="s">
        <v>6867</v>
      </c>
      <c r="D2060" t="s">
        <v>6867</v>
      </c>
      <c r="E2060" t="s">
        <v>6868</v>
      </c>
      <c r="F2060" t="s">
        <v>6869</v>
      </c>
    </row>
    <row r="2061" spans="1:6" x14ac:dyDescent="0.25">
      <c r="A2061" t="s">
        <v>1677</v>
      </c>
      <c r="B2061" t="str">
        <f>"03054980      "</f>
        <v xml:space="preserve">03054980      </v>
      </c>
      <c r="C2061" t="s">
        <v>6775</v>
      </c>
      <c r="D2061" t="s">
        <v>6775</v>
      </c>
      <c r="E2061" t="s">
        <v>6870</v>
      </c>
      <c r="F2061" t="s">
        <v>6871</v>
      </c>
    </row>
    <row r="2062" spans="1:6" x14ac:dyDescent="0.25">
      <c r="A2062" t="s">
        <v>1677</v>
      </c>
      <c r="B2062" t="str">
        <f>"03055110      "</f>
        <v xml:space="preserve">03055110      </v>
      </c>
      <c r="C2062" t="s">
        <v>6872</v>
      </c>
      <c r="D2062" t="s">
        <v>6872</v>
      </c>
      <c r="E2062" t="s">
        <v>6873</v>
      </c>
      <c r="F2062" t="s">
        <v>6874</v>
      </c>
    </row>
    <row r="2063" spans="1:6" x14ac:dyDescent="0.25">
      <c r="A2063" t="s">
        <v>1677</v>
      </c>
      <c r="B2063" t="str">
        <f>"03055190      "</f>
        <v xml:space="preserve">03055190      </v>
      </c>
      <c r="C2063" t="s">
        <v>6875</v>
      </c>
      <c r="D2063" t="s">
        <v>6875</v>
      </c>
      <c r="E2063" t="s">
        <v>6876</v>
      </c>
      <c r="F2063" t="s">
        <v>6877</v>
      </c>
    </row>
    <row r="2064" spans="1:6" x14ac:dyDescent="0.25">
      <c r="A2064" t="s">
        <v>1677</v>
      </c>
      <c r="B2064" t="str">
        <f>"03055200      "</f>
        <v xml:space="preserve">03055200      </v>
      </c>
      <c r="C2064" t="s">
        <v>6878</v>
      </c>
      <c r="D2064" t="s">
        <v>6878</v>
      </c>
      <c r="E2064" t="s">
        <v>6879</v>
      </c>
      <c r="F2064" t="s">
        <v>6880</v>
      </c>
    </row>
    <row r="2065" spans="1:6" x14ac:dyDescent="0.25">
      <c r="A2065" t="s">
        <v>1677</v>
      </c>
      <c r="B2065" t="str">
        <f>"03055310      "</f>
        <v xml:space="preserve">03055310      </v>
      </c>
      <c r="C2065" t="s">
        <v>6881</v>
      </c>
      <c r="D2065" t="s">
        <v>6881</v>
      </c>
      <c r="E2065" t="s">
        <v>6882</v>
      </c>
      <c r="F2065" t="s">
        <v>6883</v>
      </c>
    </row>
    <row r="2066" spans="1:6" x14ac:dyDescent="0.25">
      <c r="A2066" t="s">
        <v>1677</v>
      </c>
      <c r="B2066" t="str">
        <f>"03055390      "</f>
        <v xml:space="preserve">03055390      </v>
      </c>
      <c r="C2066" t="s">
        <v>6775</v>
      </c>
      <c r="D2066" t="s">
        <v>6775</v>
      </c>
      <c r="E2066" t="s">
        <v>6884</v>
      </c>
      <c r="F2066" t="s">
        <v>6885</v>
      </c>
    </row>
    <row r="2067" spans="1:6" x14ac:dyDescent="0.25">
      <c r="A2067" t="s">
        <v>1677</v>
      </c>
      <c r="B2067" t="str">
        <f>"03055430      "</f>
        <v xml:space="preserve">03055430      </v>
      </c>
      <c r="C2067" t="s">
        <v>6850</v>
      </c>
      <c r="D2067" t="s">
        <v>6850</v>
      </c>
      <c r="E2067" t="s">
        <v>6886</v>
      </c>
      <c r="F2067" t="s">
        <v>6887</v>
      </c>
    </row>
    <row r="2068" spans="1:6" x14ac:dyDescent="0.25">
      <c r="A2068" t="s">
        <v>1677</v>
      </c>
      <c r="B2068" t="str">
        <f>"03055450      "</f>
        <v xml:space="preserve">03055450      </v>
      </c>
      <c r="C2068" t="s">
        <v>6888</v>
      </c>
      <c r="D2068" t="s">
        <v>6888</v>
      </c>
      <c r="E2068" t="s">
        <v>6889</v>
      </c>
      <c r="F2068" t="s">
        <v>6890</v>
      </c>
    </row>
    <row r="2069" spans="1:6" x14ac:dyDescent="0.25">
      <c r="A2069" t="s">
        <v>1677</v>
      </c>
      <c r="B2069" t="str">
        <f>"03055490      "</f>
        <v xml:space="preserve">03055490      </v>
      </c>
      <c r="C2069" t="s">
        <v>6775</v>
      </c>
      <c r="D2069" t="s">
        <v>6775</v>
      </c>
      <c r="E2069" t="s">
        <v>6891</v>
      </c>
      <c r="F2069" t="s">
        <v>6892</v>
      </c>
    </row>
    <row r="2070" spans="1:6" x14ac:dyDescent="0.25">
      <c r="A2070" t="s">
        <v>1677</v>
      </c>
      <c r="B2070" t="str">
        <f>"03055970      "</f>
        <v xml:space="preserve">03055970      </v>
      </c>
      <c r="C2070" t="s">
        <v>6864</v>
      </c>
      <c r="D2070" t="s">
        <v>6864</v>
      </c>
      <c r="E2070" t="s">
        <v>6893</v>
      </c>
      <c r="F2070" t="s">
        <v>6894</v>
      </c>
    </row>
    <row r="2071" spans="1:6" x14ac:dyDescent="0.25">
      <c r="A2071" t="s">
        <v>1677</v>
      </c>
      <c r="B2071" t="str">
        <f>"03055985      "</f>
        <v xml:space="preserve">03055985      </v>
      </c>
      <c r="C2071" t="s">
        <v>6775</v>
      </c>
      <c r="D2071" t="s">
        <v>6775</v>
      </c>
      <c r="E2071" t="s">
        <v>6895</v>
      </c>
      <c r="F2071" t="s">
        <v>6896</v>
      </c>
    </row>
    <row r="2072" spans="1:6" x14ac:dyDescent="0.25">
      <c r="A2072" t="s">
        <v>1677</v>
      </c>
      <c r="B2072" t="str">
        <f>"03056100      "</f>
        <v xml:space="preserve">03056100      </v>
      </c>
      <c r="C2072" t="s">
        <v>6850</v>
      </c>
      <c r="D2072" t="s">
        <v>6850</v>
      </c>
      <c r="E2072" t="s">
        <v>6897</v>
      </c>
      <c r="F2072" t="s">
        <v>6898</v>
      </c>
    </row>
    <row r="2073" spans="1:6" x14ac:dyDescent="0.25">
      <c r="A2073" t="s">
        <v>1677</v>
      </c>
      <c r="B2073" t="str">
        <f>"03056200      "</f>
        <v xml:space="preserve">03056200      </v>
      </c>
      <c r="C2073" t="s">
        <v>6899</v>
      </c>
      <c r="D2073" t="s">
        <v>6899</v>
      </c>
      <c r="E2073" t="s">
        <v>6900</v>
      </c>
      <c r="F2073" t="s">
        <v>6901</v>
      </c>
    </row>
    <row r="2074" spans="1:6" x14ac:dyDescent="0.25">
      <c r="A2074" t="s">
        <v>1677</v>
      </c>
      <c r="B2074" t="str">
        <f>"03056300      "</f>
        <v xml:space="preserve">03056300      </v>
      </c>
      <c r="C2074" t="s">
        <v>6888</v>
      </c>
      <c r="D2074" t="s">
        <v>6888</v>
      </c>
      <c r="E2074" t="s">
        <v>6902</v>
      </c>
      <c r="F2074" t="s">
        <v>6903</v>
      </c>
    </row>
    <row r="2075" spans="1:6" x14ac:dyDescent="0.25">
      <c r="A2075" t="s">
        <v>1677</v>
      </c>
      <c r="B2075" t="str">
        <f>"03056400      "</f>
        <v xml:space="preserve">03056400      </v>
      </c>
      <c r="C2075" t="s">
        <v>6878</v>
      </c>
      <c r="D2075" t="s">
        <v>6878</v>
      </c>
      <c r="E2075" t="s">
        <v>6904</v>
      </c>
      <c r="F2075" t="s">
        <v>6905</v>
      </c>
    </row>
    <row r="2076" spans="1:6" x14ac:dyDescent="0.25">
      <c r="A2076" t="s">
        <v>1677</v>
      </c>
      <c r="B2076" t="str">
        <f>"03056910      "</f>
        <v xml:space="preserve">03056910      </v>
      </c>
      <c r="C2076" t="s">
        <v>6881</v>
      </c>
      <c r="D2076" t="s">
        <v>6881</v>
      </c>
      <c r="E2076" t="s">
        <v>6906</v>
      </c>
      <c r="F2076" t="s">
        <v>6907</v>
      </c>
    </row>
    <row r="2077" spans="1:6" x14ac:dyDescent="0.25">
      <c r="A2077" t="s">
        <v>1677</v>
      </c>
      <c r="B2077" t="str">
        <f>"03056930      "</f>
        <v xml:space="preserve">03056930      </v>
      </c>
      <c r="C2077" t="s">
        <v>6864</v>
      </c>
      <c r="D2077" t="s">
        <v>6864</v>
      </c>
      <c r="E2077" t="s">
        <v>6908</v>
      </c>
      <c r="F2077" t="s">
        <v>6909</v>
      </c>
    </row>
    <row r="2078" spans="1:6" x14ac:dyDescent="0.25">
      <c r="A2078" t="s">
        <v>1677</v>
      </c>
      <c r="B2078" t="str">
        <f>"03056950      "</f>
        <v xml:space="preserve">03056950      </v>
      </c>
      <c r="C2078" t="s">
        <v>6847</v>
      </c>
      <c r="D2078" t="s">
        <v>6847</v>
      </c>
      <c r="E2078" t="s">
        <v>6910</v>
      </c>
      <c r="F2078" t="s">
        <v>6911</v>
      </c>
    </row>
    <row r="2079" spans="1:6" x14ac:dyDescent="0.25">
      <c r="A2079" t="s">
        <v>1677</v>
      </c>
      <c r="B2079" t="str">
        <f>"03056980      "</f>
        <v xml:space="preserve">03056980      </v>
      </c>
      <c r="C2079" t="s">
        <v>6775</v>
      </c>
      <c r="D2079" t="s">
        <v>6775</v>
      </c>
      <c r="E2079" t="s">
        <v>6912</v>
      </c>
      <c r="F2079" t="s">
        <v>6913</v>
      </c>
    </row>
    <row r="2080" spans="1:6" x14ac:dyDescent="0.25">
      <c r="A2080" t="s">
        <v>1677</v>
      </c>
      <c r="B2080" t="str">
        <f>"03057100      "</f>
        <v xml:space="preserve">03057100      </v>
      </c>
      <c r="C2080" t="s">
        <v>6914</v>
      </c>
      <c r="D2080" t="s">
        <v>6914</v>
      </c>
      <c r="E2080" t="s">
        <v>6915</v>
      </c>
      <c r="F2080" t="s">
        <v>6916</v>
      </c>
    </row>
    <row r="2081" spans="1:6" x14ac:dyDescent="0.25">
      <c r="A2081" t="s">
        <v>1677</v>
      </c>
      <c r="B2081" t="str">
        <f>"03057200      "</f>
        <v xml:space="preserve">03057200      </v>
      </c>
      <c r="C2081" t="s">
        <v>6917</v>
      </c>
      <c r="D2081" t="s">
        <v>6917</v>
      </c>
      <c r="E2081" t="s">
        <v>6918</v>
      </c>
      <c r="F2081" t="s">
        <v>6919</v>
      </c>
    </row>
    <row r="2082" spans="1:6" x14ac:dyDescent="0.25">
      <c r="A2082" t="s">
        <v>1677</v>
      </c>
      <c r="B2082" t="str">
        <f>"03057900      "</f>
        <v xml:space="preserve">03057900      </v>
      </c>
      <c r="C2082" t="s">
        <v>6775</v>
      </c>
      <c r="D2082" t="s">
        <v>6775</v>
      </c>
      <c r="E2082" t="s">
        <v>6920</v>
      </c>
      <c r="F2082" t="s">
        <v>6921</v>
      </c>
    </row>
    <row r="2083" spans="1:6" x14ac:dyDescent="0.25">
      <c r="A2083" t="s">
        <v>1677</v>
      </c>
      <c r="B2083" t="str">
        <f>"03061110      "</f>
        <v xml:space="preserve">03061110      </v>
      </c>
      <c r="C2083" t="s">
        <v>6922</v>
      </c>
      <c r="D2083" t="s">
        <v>6922</v>
      </c>
      <c r="E2083" t="s">
        <v>6923</v>
      </c>
      <c r="F2083" t="s">
        <v>6924</v>
      </c>
    </row>
    <row r="2084" spans="1:6" x14ac:dyDescent="0.25">
      <c r="A2084" t="s">
        <v>1677</v>
      </c>
      <c r="B2084" t="str">
        <f>"03061190      "</f>
        <v xml:space="preserve">03061190      </v>
      </c>
      <c r="C2084" t="s">
        <v>6775</v>
      </c>
      <c r="D2084" t="s">
        <v>6775</v>
      </c>
      <c r="E2084" t="s">
        <v>6925</v>
      </c>
      <c r="F2084" t="s">
        <v>6926</v>
      </c>
    </row>
    <row r="2085" spans="1:6" x14ac:dyDescent="0.25">
      <c r="A2085" t="s">
        <v>1677</v>
      </c>
      <c r="B2085" t="str">
        <f>"03061210      "</f>
        <v xml:space="preserve">03061210      </v>
      </c>
      <c r="C2085" t="s">
        <v>6927</v>
      </c>
      <c r="D2085" t="s">
        <v>6927</v>
      </c>
      <c r="E2085" t="s">
        <v>6928</v>
      </c>
      <c r="F2085" t="s">
        <v>6929</v>
      </c>
    </row>
    <row r="2086" spans="1:6" x14ac:dyDescent="0.25">
      <c r="A2086" t="s">
        <v>1677</v>
      </c>
      <c r="B2086" t="str">
        <f>"03061290      "</f>
        <v xml:space="preserve">03061290      </v>
      </c>
      <c r="C2086" t="s">
        <v>6775</v>
      </c>
      <c r="D2086" t="s">
        <v>6775</v>
      </c>
      <c r="E2086" t="s">
        <v>6930</v>
      </c>
      <c r="F2086" t="s">
        <v>6931</v>
      </c>
    </row>
    <row r="2087" spans="1:6" x14ac:dyDescent="0.25">
      <c r="A2087" t="s">
        <v>1677</v>
      </c>
      <c r="B2087" t="str">
        <f>"03061410      "</f>
        <v xml:space="preserve">03061410      </v>
      </c>
      <c r="C2087" t="s">
        <v>6932</v>
      </c>
      <c r="D2087" t="s">
        <v>6932</v>
      </c>
      <c r="E2087" t="s">
        <v>6933</v>
      </c>
      <c r="F2087" t="s">
        <v>6934</v>
      </c>
    </row>
    <row r="2088" spans="1:6" x14ac:dyDescent="0.25">
      <c r="A2088" t="s">
        <v>1677</v>
      </c>
      <c r="B2088" t="str">
        <f>"03061430      "</f>
        <v xml:space="preserve">03061430      </v>
      </c>
      <c r="C2088" t="s">
        <v>6935</v>
      </c>
      <c r="D2088" t="s">
        <v>6935</v>
      </c>
      <c r="E2088" t="s">
        <v>6936</v>
      </c>
      <c r="F2088" t="s">
        <v>6937</v>
      </c>
    </row>
    <row r="2089" spans="1:6" x14ac:dyDescent="0.25">
      <c r="A2089" t="s">
        <v>1677</v>
      </c>
      <c r="B2089" t="str">
        <f>"03061490      "</f>
        <v xml:space="preserve">03061490      </v>
      </c>
      <c r="C2089" t="s">
        <v>6775</v>
      </c>
      <c r="D2089" t="s">
        <v>6775</v>
      </c>
      <c r="E2089" t="s">
        <v>6938</v>
      </c>
      <c r="F2089" t="s">
        <v>6939</v>
      </c>
    </row>
    <row r="2090" spans="1:6" x14ac:dyDescent="0.25">
      <c r="A2090" t="s">
        <v>1677</v>
      </c>
      <c r="B2090" t="str">
        <f>"03061500      "</f>
        <v xml:space="preserve">03061500      </v>
      </c>
      <c r="C2090" t="s">
        <v>6940</v>
      </c>
      <c r="D2090" t="s">
        <v>6940</v>
      </c>
      <c r="E2090" t="s">
        <v>6941</v>
      </c>
      <c r="F2090" t="s">
        <v>6942</v>
      </c>
    </row>
    <row r="2091" spans="1:6" x14ac:dyDescent="0.25">
      <c r="A2091" t="s">
        <v>1677</v>
      </c>
      <c r="B2091" t="str">
        <f>"03061691      "</f>
        <v xml:space="preserve">03061691      </v>
      </c>
      <c r="C2091" t="s">
        <v>6943</v>
      </c>
      <c r="D2091" t="s">
        <v>6943</v>
      </c>
      <c r="E2091" t="s">
        <v>6944</v>
      </c>
      <c r="F2091" t="s">
        <v>6945</v>
      </c>
    </row>
    <row r="2092" spans="1:6" x14ac:dyDescent="0.25">
      <c r="A2092" t="s">
        <v>1677</v>
      </c>
      <c r="B2092" t="str">
        <f>"03061699      "</f>
        <v xml:space="preserve">03061699      </v>
      </c>
      <c r="C2092" t="s">
        <v>6775</v>
      </c>
      <c r="D2092" t="s">
        <v>6775</v>
      </c>
      <c r="E2092" t="s">
        <v>6946</v>
      </c>
      <c r="F2092" t="s">
        <v>6947</v>
      </c>
    </row>
    <row r="2093" spans="1:6" x14ac:dyDescent="0.25">
      <c r="A2093" t="s">
        <v>1677</v>
      </c>
      <c r="B2093" t="str">
        <f>"03061791      "</f>
        <v xml:space="preserve">03061791      </v>
      </c>
      <c r="C2093" t="s">
        <v>6948</v>
      </c>
      <c r="D2093" t="s">
        <v>6948</v>
      </c>
      <c r="E2093" t="s">
        <v>6949</v>
      </c>
      <c r="F2093" t="s">
        <v>6950</v>
      </c>
    </row>
    <row r="2094" spans="1:6" x14ac:dyDescent="0.25">
      <c r="A2094" t="s">
        <v>1677</v>
      </c>
      <c r="B2094" t="str">
        <f>"03061792      "</f>
        <v xml:space="preserve">03061792      </v>
      </c>
      <c r="C2094" t="s">
        <v>6951</v>
      </c>
      <c r="D2094" t="s">
        <v>6951</v>
      </c>
      <c r="E2094" t="s">
        <v>6952</v>
      </c>
      <c r="F2094" t="s">
        <v>6953</v>
      </c>
    </row>
    <row r="2095" spans="1:6" x14ac:dyDescent="0.25">
      <c r="A2095" t="s">
        <v>1677</v>
      </c>
      <c r="B2095" t="str">
        <f>"03061793      "</f>
        <v xml:space="preserve">03061793      </v>
      </c>
      <c r="C2095" t="s">
        <v>6954</v>
      </c>
      <c r="D2095" t="s">
        <v>6954</v>
      </c>
      <c r="E2095" t="s">
        <v>6955</v>
      </c>
      <c r="F2095" t="s">
        <v>6956</v>
      </c>
    </row>
    <row r="2096" spans="1:6" x14ac:dyDescent="0.25">
      <c r="A2096" t="s">
        <v>1677</v>
      </c>
      <c r="B2096" t="str">
        <f>"03061794      "</f>
        <v xml:space="preserve">03061794      </v>
      </c>
      <c r="C2096" t="s">
        <v>6957</v>
      </c>
      <c r="D2096" t="s">
        <v>6957</v>
      </c>
      <c r="E2096" t="s">
        <v>6958</v>
      </c>
      <c r="F2096" t="s">
        <v>6959</v>
      </c>
    </row>
    <row r="2097" spans="1:6" x14ac:dyDescent="0.25">
      <c r="A2097" t="s">
        <v>1677</v>
      </c>
      <c r="B2097" t="str">
        <f>"03061799      "</f>
        <v xml:space="preserve">03061799      </v>
      </c>
      <c r="C2097" t="s">
        <v>6775</v>
      </c>
      <c r="D2097" t="s">
        <v>6775</v>
      </c>
      <c r="E2097" t="s">
        <v>6960</v>
      </c>
      <c r="F2097" t="s">
        <v>6961</v>
      </c>
    </row>
    <row r="2098" spans="1:6" x14ac:dyDescent="0.25">
      <c r="A2098" t="s">
        <v>1677</v>
      </c>
      <c r="B2098" t="str">
        <f>"03061910      "</f>
        <v xml:space="preserve">03061910      </v>
      </c>
      <c r="C2098" t="s">
        <v>6962</v>
      </c>
      <c r="D2098" t="s">
        <v>6962</v>
      </c>
      <c r="E2098" t="s">
        <v>6963</v>
      </c>
      <c r="F2098" t="s">
        <v>6964</v>
      </c>
    </row>
    <row r="2099" spans="1:6" x14ac:dyDescent="0.25">
      <c r="A2099" t="s">
        <v>1677</v>
      </c>
      <c r="B2099" t="str">
        <f>"03061990      "</f>
        <v xml:space="preserve">03061990      </v>
      </c>
      <c r="C2099" t="s">
        <v>6775</v>
      </c>
      <c r="D2099" t="s">
        <v>6775</v>
      </c>
      <c r="E2099" t="s">
        <v>6965</v>
      </c>
      <c r="F2099" t="s">
        <v>6966</v>
      </c>
    </row>
    <row r="2100" spans="1:6" x14ac:dyDescent="0.25">
      <c r="A2100" t="s">
        <v>1677</v>
      </c>
      <c r="B2100" t="str">
        <f>"03063100      "</f>
        <v xml:space="preserve">03063100      </v>
      </c>
      <c r="C2100" t="s">
        <v>6967</v>
      </c>
      <c r="D2100" t="s">
        <v>6967</v>
      </c>
      <c r="E2100" t="s">
        <v>6968</v>
      </c>
      <c r="F2100" t="s">
        <v>6969</v>
      </c>
    </row>
    <row r="2101" spans="1:6" x14ac:dyDescent="0.25">
      <c r="A2101" t="s">
        <v>1677</v>
      </c>
      <c r="B2101" t="str">
        <f>"03063210      "</f>
        <v xml:space="preserve">03063210      </v>
      </c>
      <c r="C2101" t="s">
        <v>6970</v>
      </c>
      <c r="D2101" t="s">
        <v>6970</v>
      </c>
      <c r="E2101" t="s">
        <v>6971</v>
      </c>
      <c r="F2101" t="s">
        <v>6972</v>
      </c>
    </row>
    <row r="2102" spans="1:6" x14ac:dyDescent="0.25">
      <c r="A2102" t="s">
        <v>1677</v>
      </c>
      <c r="B2102" t="str">
        <f>"03063291      "</f>
        <v xml:space="preserve">03063291      </v>
      </c>
      <c r="C2102" t="s">
        <v>6927</v>
      </c>
      <c r="D2102" t="s">
        <v>6927</v>
      </c>
      <c r="E2102" t="s">
        <v>6973</v>
      </c>
      <c r="F2102" t="s">
        <v>6974</v>
      </c>
    </row>
    <row r="2103" spans="1:6" x14ac:dyDescent="0.25">
      <c r="A2103" t="s">
        <v>1677</v>
      </c>
      <c r="B2103" t="str">
        <f>"03063299      "</f>
        <v xml:space="preserve">03063299      </v>
      </c>
      <c r="C2103" t="s">
        <v>6775</v>
      </c>
      <c r="D2103" t="s">
        <v>6775</v>
      </c>
      <c r="E2103" t="s">
        <v>6975</v>
      </c>
      <c r="F2103" t="s">
        <v>6976</v>
      </c>
    </row>
    <row r="2104" spans="1:6" x14ac:dyDescent="0.25">
      <c r="A2104" t="s">
        <v>1677</v>
      </c>
      <c r="B2104" t="str">
        <f>"03063310      "</f>
        <v xml:space="preserve">03063310      </v>
      </c>
      <c r="C2104" t="s">
        <v>6935</v>
      </c>
      <c r="D2104" t="s">
        <v>6935</v>
      </c>
      <c r="E2104" t="s">
        <v>6977</v>
      </c>
      <c r="F2104" t="s">
        <v>6978</v>
      </c>
    </row>
    <row r="2105" spans="1:6" x14ac:dyDescent="0.25">
      <c r="A2105" t="s">
        <v>1677</v>
      </c>
      <c r="B2105" t="str">
        <f>"03063390      "</f>
        <v xml:space="preserve">03063390      </v>
      </c>
      <c r="C2105" t="s">
        <v>6775</v>
      </c>
      <c r="D2105" t="s">
        <v>6775</v>
      </c>
      <c r="E2105" t="s">
        <v>6979</v>
      </c>
      <c r="F2105" t="s">
        <v>6980</v>
      </c>
    </row>
    <row r="2106" spans="1:6" x14ac:dyDescent="0.25">
      <c r="A2106" t="s">
        <v>1677</v>
      </c>
      <c r="B2106" t="str">
        <f>"03063400      "</f>
        <v xml:space="preserve">03063400      </v>
      </c>
      <c r="C2106" t="s">
        <v>6940</v>
      </c>
      <c r="D2106" t="s">
        <v>6940</v>
      </c>
      <c r="E2106" t="s">
        <v>6981</v>
      </c>
      <c r="F2106" t="s">
        <v>6982</v>
      </c>
    </row>
    <row r="2107" spans="1:6" x14ac:dyDescent="0.25">
      <c r="A2107" t="s">
        <v>1677</v>
      </c>
      <c r="B2107" t="str">
        <f>"03063510      "</f>
        <v xml:space="preserve">03063510      </v>
      </c>
      <c r="C2107" t="s">
        <v>6983</v>
      </c>
      <c r="D2107" t="s">
        <v>6983</v>
      </c>
      <c r="E2107" t="s">
        <v>6984</v>
      </c>
      <c r="F2107" t="s">
        <v>6985</v>
      </c>
    </row>
    <row r="2108" spans="1:6" x14ac:dyDescent="0.25">
      <c r="A2108" t="s">
        <v>1677</v>
      </c>
      <c r="B2108" t="str">
        <f>"03063550      "</f>
        <v xml:space="preserve">03063550      </v>
      </c>
      <c r="C2108" t="s">
        <v>6775</v>
      </c>
      <c r="D2108" t="s">
        <v>6775</v>
      </c>
      <c r="E2108" t="s">
        <v>6986</v>
      </c>
      <c r="F2108" t="s">
        <v>6987</v>
      </c>
    </row>
    <row r="2109" spans="1:6" x14ac:dyDescent="0.25">
      <c r="A2109" t="s">
        <v>1677</v>
      </c>
      <c r="B2109" t="str">
        <f>"03063590      "</f>
        <v xml:space="preserve">03063590      </v>
      </c>
      <c r="C2109" t="s">
        <v>6775</v>
      </c>
      <c r="D2109" t="s">
        <v>6775</v>
      </c>
      <c r="E2109" t="s">
        <v>6988</v>
      </c>
      <c r="F2109" t="s">
        <v>6989</v>
      </c>
    </row>
    <row r="2110" spans="1:6" x14ac:dyDescent="0.25">
      <c r="A2110" t="s">
        <v>1677</v>
      </c>
      <c r="B2110" t="str">
        <f>"03063610      "</f>
        <v xml:space="preserve">03063610      </v>
      </c>
      <c r="C2110" t="s">
        <v>6954</v>
      </c>
      <c r="D2110" t="s">
        <v>6954</v>
      </c>
      <c r="E2110" t="s">
        <v>6990</v>
      </c>
      <c r="F2110" t="s">
        <v>6991</v>
      </c>
    </row>
    <row r="2111" spans="1:6" x14ac:dyDescent="0.25">
      <c r="A2111" t="s">
        <v>1677</v>
      </c>
      <c r="B2111" t="str">
        <f>"03063650      "</f>
        <v xml:space="preserve">03063650      </v>
      </c>
      <c r="C2111" t="s">
        <v>6957</v>
      </c>
      <c r="D2111" t="s">
        <v>6957</v>
      </c>
      <c r="E2111" t="s">
        <v>6992</v>
      </c>
      <c r="F2111" t="s">
        <v>6993</v>
      </c>
    </row>
    <row r="2112" spans="1:6" x14ac:dyDescent="0.25">
      <c r="A2112" t="s">
        <v>1677</v>
      </c>
      <c r="B2112" t="str">
        <f>"03063690      "</f>
        <v xml:space="preserve">03063690      </v>
      </c>
      <c r="C2112" t="s">
        <v>6775</v>
      </c>
      <c r="D2112" t="s">
        <v>6775</v>
      </c>
      <c r="E2112" t="s">
        <v>6994</v>
      </c>
      <c r="F2112" t="s">
        <v>6995</v>
      </c>
    </row>
    <row r="2113" spans="1:6" x14ac:dyDescent="0.25">
      <c r="A2113" t="s">
        <v>1677</v>
      </c>
      <c r="B2113" t="str">
        <f>"03063910      "</f>
        <v xml:space="preserve">03063910      </v>
      </c>
      <c r="C2113" t="s">
        <v>6962</v>
      </c>
      <c r="D2113" t="s">
        <v>6962</v>
      </c>
      <c r="E2113" t="s">
        <v>6996</v>
      </c>
      <c r="F2113" t="s">
        <v>6997</v>
      </c>
    </row>
    <row r="2114" spans="1:6" x14ac:dyDescent="0.25">
      <c r="A2114" t="s">
        <v>1677</v>
      </c>
      <c r="B2114" t="str">
        <f>"03063990      "</f>
        <v xml:space="preserve">03063990      </v>
      </c>
      <c r="C2114" t="s">
        <v>6775</v>
      </c>
      <c r="D2114" t="s">
        <v>6775</v>
      </c>
      <c r="E2114" t="s">
        <v>6998</v>
      </c>
      <c r="F2114" t="s">
        <v>6999</v>
      </c>
    </row>
    <row r="2115" spans="1:6" x14ac:dyDescent="0.25">
      <c r="A2115" t="s">
        <v>1677</v>
      </c>
      <c r="B2115" t="str">
        <f>"03069100      "</f>
        <v xml:space="preserve">03069100      </v>
      </c>
      <c r="C2115" t="s">
        <v>6967</v>
      </c>
      <c r="D2115" t="s">
        <v>6967</v>
      </c>
      <c r="E2115" t="s">
        <v>7000</v>
      </c>
      <c r="F2115" t="s">
        <v>7001</v>
      </c>
    </row>
    <row r="2116" spans="1:6" x14ac:dyDescent="0.25">
      <c r="A2116" t="s">
        <v>1677</v>
      </c>
      <c r="B2116" t="str">
        <f>"03069210      "</f>
        <v xml:space="preserve">03069210      </v>
      </c>
      <c r="C2116" t="s">
        <v>6927</v>
      </c>
      <c r="D2116" t="s">
        <v>6927</v>
      </c>
      <c r="E2116" t="s">
        <v>7002</v>
      </c>
      <c r="F2116" t="s">
        <v>7003</v>
      </c>
    </row>
    <row r="2117" spans="1:6" x14ac:dyDescent="0.25">
      <c r="A2117" t="s">
        <v>1677</v>
      </c>
      <c r="B2117" t="str">
        <f>"03069290      "</f>
        <v xml:space="preserve">03069290      </v>
      </c>
      <c r="C2117" t="s">
        <v>6775</v>
      </c>
      <c r="D2117" t="s">
        <v>6775</v>
      </c>
      <c r="E2117" t="s">
        <v>7004</v>
      </c>
      <c r="F2117" t="s">
        <v>7005</v>
      </c>
    </row>
    <row r="2118" spans="1:6" x14ac:dyDescent="0.25">
      <c r="A2118" t="s">
        <v>1677</v>
      </c>
      <c r="B2118" t="str">
        <f>"03069310      "</f>
        <v xml:space="preserve">03069310      </v>
      </c>
      <c r="C2118" t="s">
        <v>6935</v>
      </c>
      <c r="D2118" t="s">
        <v>6935</v>
      </c>
      <c r="E2118" t="s">
        <v>7006</v>
      </c>
      <c r="F2118" t="s">
        <v>7007</v>
      </c>
    </row>
    <row r="2119" spans="1:6" x14ac:dyDescent="0.25">
      <c r="A2119" t="s">
        <v>1677</v>
      </c>
      <c r="B2119" t="str">
        <f>"03069390      "</f>
        <v xml:space="preserve">03069390      </v>
      </c>
      <c r="C2119" t="s">
        <v>6775</v>
      </c>
      <c r="D2119" t="s">
        <v>6775</v>
      </c>
      <c r="E2119" t="s">
        <v>7008</v>
      </c>
      <c r="F2119" t="s">
        <v>7009</v>
      </c>
    </row>
    <row r="2120" spans="1:6" x14ac:dyDescent="0.25">
      <c r="A2120" t="s">
        <v>1677</v>
      </c>
      <c r="B2120" t="str">
        <f>"03069400      "</f>
        <v xml:space="preserve">03069400      </v>
      </c>
      <c r="C2120" t="s">
        <v>6940</v>
      </c>
      <c r="D2120" t="s">
        <v>6940</v>
      </c>
      <c r="E2120" t="s">
        <v>7010</v>
      </c>
      <c r="F2120" t="s">
        <v>7011</v>
      </c>
    </row>
    <row r="2121" spans="1:6" x14ac:dyDescent="0.25">
      <c r="A2121" t="s">
        <v>1677</v>
      </c>
      <c r="B2121" t="str">
        <f>"03069511      "</f>
        <v xml:space="preserve">03069511      </v>
      </c>
      <c r="C2121" t="s">
        <v>7012</v>
      </c>
      <c r="D2121" t="s">
        <v>7012</v>
      </c>
      <c r="E2121" t="s">
        <v>7013</v>
      </c>
      <c r="F2121" t="s">
        <v>7014</v>
      </c>
    </row>
    <row r="2122" spans="1:6" x14ac:dyDescent="0.25">
      <c r="A2122" t="s">
        <v>1677</v>
      </c>
      <c r="B2122" t="str">
        <f>"03069519      "</f>
        <v xml:space="preserve">03069519      </v>
      </c>
      <c r="C2122" t="s">
        <v>6775</v>
      </c>
      <c r="D2122" t="s">
        <v>6775</v>
      </c>
      <c r="E2122" t="s">
        <v>7015</v>
      </c>
      <c r="F2122" t="s">
        <v>7016</v>
      </c>
    </row>
    <row r="2123" spans="1:6" x14ac:dyDescent="0.25">
      <c r="A2123" t="s">
        <v>1677</v>
      </c>
      <c r="B2123" t="str">
        <f>"03069520      "</f>
        <v xml:space="preserve">03069520      </v>
      </c>
      <c r="C2123" t="s">
        <v>7017</v>
      </c>
      <c r="D2123" t="s">
        <v>7017</v>
      </c>
      <c r="E2123" t="s">
        <v>7018</v>
      </c>
      <c r="F2123" t="s">
        <v>7019</v>
      </c>
    </row>
    <row r="2124" spans="1:6" x14ac:dyDescent="0.25">
      <c r="A2124" t="s">
        <v>1677</v>
      </c>
      <c r="B2124" t="str">
        <f>"03069530      "</f>
        <v xml:space="preserve">03069530      </v>
      </c>
      <c r="C2124" t="s">
        <v>6954</v>
      </c>
      <c r="D2124" t="s">
        <v>6954</v>
      </c>
      <c r="E2124" t="s">
        <v>7020</v>
      </c>
      <c r="F2124" t="s">
        <v>7021</v>
      </c>
    </row>
    <row r="2125" spans="1:6" x14ac:dyDescent="0.25">
      <c r="A2125" t="s">
        <v>1677</v>
      </c>
      <c r="B2125" t="str">
        <f>"03069540      "</f>
        <v xml:space="preserve">03069540      </v>
      </c>
      <c r="C2125" t="s">
        <v>6957</v>
      </c>
      <c r="D2125" t="s">
        <v>6957</v>
      </c>
      <c r="E2125" t="s">
        <v>7022</v>
      </c>
      <c r="F2125" t="s">
        <v>7023</v>
      </c>
    </row>
    <row r="2126" spans="1:6" x14ac:dyDescent="0.25">
      <c r="A2126" t="s">
        <v>1677</v>
      </c>
      <c r="B2126" t="str">
        <f>"03069590      "</f>
        <v xml:space="preserve">03069590      </v>
      </c>
      <c r="C2126" t="s">
        <v>6775</v>
      </c>
      <c r="D2126" t="s">
        <v>6775</v>
      </c>
      <c r="E2126" t="s">
        <v>7024</v>
      </c>
      <c r="F2126" t="s">
        <v>7025</v>
      </c>
    </row>
    <row r="2127" spans="1:6" x14ac:dyDescent="0.25">
      <c r="A2127" t="s">
        <v>1677</v>
      </c>
      <c r="B2127" t="str">
        <f>"03069910      "</f>
        <v xml:space="preserve">03069910      </v>
      </c>
      <c r="C2127" t="s">
        <v>6962</v>
      </c>
      <c r="D2127" t="s">
        <v>6962</v>
      </c>
      <c r="E2127" t="s">
        <v>7026</v>
      </c>
      <c r="F2127" t="s">
        <v>7027</v>
      </c>
    </row>
    <row r="2128" spans="1:6" x14ac:dyDescent="0.25">
      <c r="A2128" t="s">
        <v>1677</v>
      </c>
      <c r="B2128" t="str">
        <f>"03069990      "</f>
        <v xml:space="preserve">03069990      </v>
      </c>
      <c r="C2128" t="s">
        <v>6775</v>
      </c>
      <c r="D2128" t="s">
        <v>6775</v>
      </c>
      <c r="E2128" t="s">
        <v>7028</v>
      </c>
      <c r="F2128" t="s">
        <v>7029</v>
      </c>
    </row>
    <row r="2129" spans="1:6" x14ac:dyDescent="0.25">
      <c r="A2129" t="s">
        <v>1677</v>
      </c>
      <c r="B2129" t="str">
        <f>"03071110      "</f>
        <v xml:space="preserve">03071110      </v>
      </c>
      <c r="C2129" t="s">
        <v>7030</v>
      </c>
      <c r="D2129" t="s">
        <v>7030</v>
      </c>
      <c r="E2129" t="s">
        <v>7031</v>
      </c>
      <c r="F2129" t="s">
        <v>7032</v>
      </c>
    </row>
    <row r="2130" spans="1:6" x14ac:dyDescent="0.25">
      <c r="A2130" t="s">
        <v>1677</v>
      </c>
      <c r="B2130" t="str">
        <f>"03071190      "</f>
        <v xml:space="preserve">03071190      </v>
      </c>
      <c r="C2130" t="s">
        <v>6775</v>
      </c>
      <c r="D2130" t="s">
        <v>6775</v>
      </c>
      <c r="E2130" t="s">
        <v>7033</v>
      </c>
      <c r="F2130" t="s">
        <v>7034</v>
      </c>
    </row>
    <row r="2131" spans="1:6" x14ac:dyDescent="0.25">
      <c r="A2131" t="s">
        <v>1677</v>
      </c>
      <c r="B2131" t="str">
        <f>"03071200      "</f>
        <v xml:space="preserve">03071200      </v>
      </c>
      <c r="C2131" t="s">
        <v>7035</v>
      </c>
      <c r="D2131" t="s">
        <v>7035</v>
      </c>
      <c r="E2131" t="s">
        <v>7036</v>
      </c>
      <c r="F2131" t="s">
        <v>7037</v>
      </c>
    </row>
    <row r="2132" spans="1:6" x14ac:dyDescent="0.25">
      <c r="A2132" t="s">
        <v>1677</v>
      </c>
      <c r="B2132" t="str">
        <f>"03071900      "</f>
        <v xml:space="preserve">03071900      </v>
      </c>
      <c r="C2132" t="s">
        <v>6775</v>
      </c>
      <c r="D2132" t="s">
        <v>6775</v>
      </c>
      <c r="E2132" t="s">
        <v>7038</v>
      </c>
      <c r="F2132" t="s">
        <v>7039</v>
      </c>
    </row>
    <row r="2133" spans="1:6" x14ac:dyDescent="0.25">
      <c r="A2133" t="s">
        <v>1677</v>
      </c>
      <c r="B2133" t="str">
        <f>"03072210      "</f>
        <v xml:space="preserve">03072210      </v>
      </c>
      <c r="C2133" t="s">
        <v>7040</v>
      </c>
      <c r="D2133" t="s">
        <v>7040</v>
      </c>
      <c r="E2133" t="s">
        <v>7041</v>
      </c>
      <c r="F2133" t="s">
        <v>7042</v>
      </c>
    </row>
    <row r="2134" spans="1:6" x14ac:dyDescent="0.25">
      <c r="A2134" t="s">
        <v>1677</v>
      </c>
      <c r="B2134" t="str">
        <f>"03072290      "</f>
        <v xml:space="preserve">03072290      </v>
      </c>
      <c r="C2134" t="s">
        <v>6775</v>
      </c>
      <c r="D2134" t="s">
        <v>6775</v>
      </c>
      <c r="E2134" t="s">
        <v>7043</v>
      </c>
      <c r="F2134" t="s">
        <v>7044</v>
      </c>
    </row>
    <row r="2135" spans="1:6" x14ac:dyDescent="0.25">
      <c r="A2135" t="s">
        <v>1677</v>
      </c>
      <c r="B2135" t="str">
        <f>"03073110      "</f>
        <v xml:space="preserve">03073110      </v>
      </c>
      <c r="C2135" t="s">
        <v>1981</v>
      </c>
      <c r="D2135" t="s">
        <v>1981</v>
      </c>
      <c r="E2135" t="s">
        <v>7045</v>
      </c>
      <c r="F2135" t="s">
        <v>7046</v>
      </c>
    </row>
    <row r="2136" spans="1:6" x14ac:dyDescent="0.25">
      <c r="A2136" t="s">
        <v>1677</v>
      </c>
      <c r="B2136" t="str">
        <f>"03073190      "</f>
        <v xml:space="preserve">03073190      </v>
      </c>
      <c r="C2136" t="s">
        <v>1984</v>
      </c>
      <c r="D2136" t="s">
        <v>1984</v>
      </c>
      <c r="E2136" t="s">
        <v>7047</v>
      </c>
      <c r="F2136" t="s">
        <v>7048</v>
      </c>
    </row>
    <row r="2137" spans="1:6" x14ac:dyDescent="0.25">
      <c r="A2137" t="s">
        <v>1677</v>
      </c>
      <c r="B2137" t="str">
        <f>"03073210      "</f>
        <v xml:space="preserve">03073210      </v>
      </c>
      <c r="C2137" t="s">
        <v>1981</v>
      </c>
      <c r="D2137" t="s">
        <v>1981</v>
      </c>
      <c r="E2137" t="s">
        <v>7049</v>
      </c>
      <c r="F2137" t="s">
        <v>7050</v>
      </c>
    </row>
    <row r="2138" spans="1:6" x14ac:dyDescent="0.25">
      <c r="A2138" t="s">
        <v>1677</v>
      </c>
      <c r="B2138" t="str">
        <f>"03073290      "</f>
        <v xml:space="preserve">03073290      </v>
      </c>
      <c r="C2138" t="s">
        <v>1984</v>
      </c>
      <c r="D2138" t="s">
        <v>1984</v>
      </c>
      <c r="E2138" t="s">
        <v>7051</v>
      </c>
      <c r="F2138" t="s">
        <v>7052</v>
      </c>
    </row>
    <row r="2139" spans="1:6" x14ac:dyDescent="0.25">
      <c r="A2139" t="s">
        <v>1677</v>
      </c>
      <c r="B2139" t="str">
        <f>"03073920      "</f>
        <v xml:space="preserve">03073920      </v>
      </c>
      <c r="C2139" t="s">
        <v>1981</v>
      </c>
      <c r="D2139" t="s">
        <v>1981</v>
      </c>
      <c r="E2139" t="s">
        <v>7053</v>
      </c>
      <c r="F2139" t="s">
        <v>7054</v>
      </c>
    </row>
    <row r="2140" spans="1:6" x14ac:dyDescent="0.25">
      <c r="A2140" t="s">
        <v>1677</v>
      </c>
      <c r="B2140" t="str">
        <f>"03073980      "</f>
        <v xml:space="preserve">03073980      </v>
      </c>
      <c r="C2140" t="s">
        <v>1984</v>
      </c>
      <c r="D2140" t="s">
        <v>1984</v>
      </c>
      <c r="E2140" t="s">
        <v>7055</v>
      </c>
      <c r="F2140" t="s">
        <v>7056</v>
      </c>
    </row>
    <row r="2141" spans="1:6" x14ac:dyDescent="0.25">
      <c r="A2141" t="s">
        <v>1677</v>
      </c>
      <c r="B2141" t="str">
        <f>"03074210      "</f>
        <v xml:space="preserve">03074210      </v>
      </c>
      <c r="C2141" t="s">
        <v>7057</v>
      </c>
      <c r="D2141" t="s">
        <v>7057</v>
      </c>
      <c r="E2141" t="s">
        <v>7058</v>
      </c>
      <c r="F2141" t="s">
        <v>7059</v>
      </c>
    </row>
    <row r="2142" spans="1:6" x14ac:dyDescent="0.25">
      <c r="A2142" t="s">
        <v>1677</v>
      </c>
      <c r="B2142" t="str">
        <f>"03074220      "</f>
        <v xml:space="preserve">03074220      </v>
      </c>
      <c r="C2142" t="s">
        <v>1998</v>
      </c>
      <c r="D2142" t="s">
        <v>1998</v>
      </c>
      <c r="E2142" t="s">
        <v>7060</v>
      </c>
      <c r="F2142" t="s">
        <v>7061</v>
      </c>
    </row>
    <row r="2143" spans="1:6" x14ac:dyDescent="0.25">
      <c r="A2143" t="s">
        <v>1677</v>
      </c>
      <c r="B2143" t="str">
        <f>"03074230      "</f>
        <v xml:space="preserve">03074230      </v>
      </c>
      <c r="C2143" t="s">
        <v>4513</v>
      </c>
      <c r="D2143" t="s">
        <v>4513</v>
      </c>
      <c r="E2143" t="s">
        <v>7062</v>
      </c>
      <c r="F2143" t="s">
        <v>7063</v>
      </c>
    </row>
    <row r="2144" spans="1:6" x14ac:dyDescent="0.25">
      <c r="A2144" t="s">
        <v>1677</v>
      </c>
      <c r="B2144" t="str">
        <f>"03074240      "</f>
        <v xml:space="preserve">03074240      </v>
      </c>
      <c r="C2144" t="s">
        <v>7064</v>
      </c>
      <c r="D2144" t="s">
        <v>7064</v>
      </c>
      <c r="E2144" t="s">
        <v>7065</v>
      </c>
      <c r="F2144" t="s">
        <v>7066</v>
      </c>
    </row>
    <row r="2145" spans="1:6" x14ac:dyDescent="0.25">
      <c r="A2145" t="s">
        <v>1677</v>
      </c>
      <c r="B2145" t="str">
        <f>"03074290      "</f>
        <v xml:space="preserve">03074290      </v>
      </c>
      <c r="C2145" t="s">
        <v>6775</v>
      </c>
      <c r="D2145" t="s">
        <v>6775</v>
      </c>
      <c r="E2145" t="s">
        <v>7067</v>
      </c>
      <c r="F2145" t="s">
        <v>7068</v>
      </c>
    </row>
    <row r="2146" spans="1:6" x14ac:dyDescent="0.25">
      <c r="A2146" t="s">
        <v>1677</v>
      </c>
      <c r="B2146" t="str">
        <f>"03074321      "</f>
        <v xml:space="preserve">03074321      </v>
      </c>
      <c r="C2146" t="s">
        <v>4521</v>
      </c>
      <c r="D2146" t="s">
        <v>4521</v>
      </c>
      <c r="E2146" t="s">
        <v>7069</v>
      </c>
      <c r="F2146" t="s">
        <v>7070</v>
      </c>
    </row>
    <row r="2147" spans="1:6" x14ac:dyDescent="0.25">
      <c r="A2147" t="s">
        <v>1677</v>
      </c>
      <c r="B2147" t="str">
        <f>"03074325      "</f>
        <v xml:space="preserve">03074325      </v>
      </c>
      <c r="C2147" t="s">
        <v>6775</v>
      </c>
      <c r="D2147" t="s">
        <v>6775</v>
      </c>
      <c r="E2147" t="s">
        <v>7071</v>
      </c>
      <c r="F2147" t="s">
        <v>7072</v>
      </c>
    </row>
    <row r="2148" spans="1:6" x14ac:dyDescent="0.25">
      <c r="A2148" t="s">
        <v>1677</v>
      </c>
      <c r="B2148" t="str">
        <f>"03074329      "</f>
        <v xml:space="preserve">03074329      </v>
      </c>
      <c r="C2148" t="s">
        <v>4526</v>
      </c>
      <c r="D2148" t="s">
        <v>4526</v>
      </c>
      <c r="E2148" t="s">
        <v>7073</v>
      </c>
      <c r="F2148" t="s">
        <v>7074</v>
      </c>
    </row>
    <row r="2149" spans="1:6" x14ac:dyDescent="0.25">
      <c r="A2149" t="s">
        <v>1677</v>
      </c>
      <c r="B2149" t="str">
        <f>"03074331      "</f>
        <v xml:space="preserve">03074331      </v>
      </c>
      <c r="C2149" t="s">
        <v>4529</v>
      </c>
      <c r="D2149" t="s">
        <v>4529</v>
      </c>
      <c r="E2149" t="s">
        <v>7075</v>
      </c>
      <c r="F2149" t="s">
        <v>7076</v>
      </c>
    </row>
    <row r="2150" spans="1:6" x14ac:dyDescent="0.25">
      <c r="A2150" t="s">
        <v>1677</v>
      </c>
      <c r="B2150" t="str">
        <f>"03074333      "</f>
        <v xml:space="preserve">03074333      </v>
      </c>
      <c r="C2150" t="s">
        <v>4532</v>
      </c>
      <c r="D2150" t="s">
        <v>4532</v>
      </c>
      <c r="E2150" t="s">
        <v>7077</v>
      </c>
      <c r="F2150" t="s">
        <v>7078</v>
      </c>
    </row>
    <row r="2151" spans="1:6" x14ac:dyDescent="0.25">
      <c r="A2151" t="s">
        <v>1677</v>
      </c>
      <c r="B2151" t="str">
        <f>"03074335      "</f>
        <v xml:space="preserve">03074335      </v>
      </c>
      <c r="C2151" t="s">
        <v>4535</v>
      </c>
      <c r="D2151" t="s">
        <v>4535</v>
      </c>
      <c r="E2151" t="s">
        <v>7079</v>
      </c>
      <c r="F2151" t="s">
        <v>7080</v>
      </c>
    </row>
    <row r="2152" spans="1:6" x14ac:dyDescent="0.25">
      <c r="A2152" t="s">
        <v>1677</v>
      </c>
      <c r="B2152" t="str">
        <f>"03074338      "</f>
        <v xml:space="preserve">03074338      </v>
      </c>
      <c r="C2152" t="s">
        <v>6775</v>
      </c>
      <c r="D2152" t="s">
        <v>6775</v>
      </c>
      <c r="E2152" t="s">
        <v>7081</v>
      </c>
      <c r="F2152" t="s">
        <v>7082</v>
      </c>
    </row>
    <row r="2153" spans="1:6" x14ac:dyDescent="0.25">
      <c r="A2153" t="s">
        <v>1677</v>
      </c>
      <c r="B2153" t="str">
        <f>"03074391      "</f>
        <v xml:space="preserve">03074391      </v>
      </c>
      <c r="C2153" t="s">
        <v>7083</v>
      </c>
      <c r="D2153" t="s">
        <v>7083</v>
      </c>
      <c r="E2153" t="s">
        <v>7084</v>
      </c>
      <c r="F2153" t="s">
        <v>7085</v>
      </c>
    </row>
    <row r="2154" spans="1:6" x14ac:dyDescent="0.25">
      <c r="A2154" t="s">
        <v>1677</v>
      </c>
      <c r="B2154" t="str">
        <f>"03074392      "</f>
        <v xml:space="preserve">03074392      </v>
      </c>
      <c r="C2154" t="s">
        <v>2031</v>
      </c>
      <c r="D2154" t="s">
        <v>2031</v>
      </c>
      <c r="E2154" t="s">
        <v>7086</v>
      </c>
      <c r="F2154" t="s">
        <v>7087</v>
      </c>
    </row>
    <row r="2155" spans="1:6" x14ac:dyDescent="0.25">
      <c r="A2155" t="s">
        <v>1677</v>
      </c>
      <c r="B2155" t="str">
        <f>"03074395      "</f>
        <v xml:space="preserve">03074395      </v>
      </c>
      <c r="C2155" t="s">
        <v>4545</v>
      </c>
      <c r="D2155" t="s">
        <v>4545</v>
      </c>
      <c r="E2155" t="s">
        <v>7088</v>
      </c>
      <c r="F2155" t="s">
        <v>7089</v>
      </c>
    </row>
    <row r="2156" spans="1:6" x14ac:dyDescent="0.25">
      <c r="A2156" t="s">
        <v>1677</v>
      </c>
      <c r="B2156" t="str">
        <f>"03074399      "</f>
        <v xml:space="preserve">03074399      </v>
      </c>
      <c r="C2156" t="s">
        <v>6775</v>
      </c>
      <c r="D2156" t="s">
        <v>6775</v>
      </c>
      <c r="E2156" t="s">
        <v>7090</v>
      </c>
      <c r="F2156" t="s">
        <v>7091</v>
      </c>
    </row>
    <row r="2157" spans="1:6" x14ac:dyDescent="0.25">
      <c r="A2157" t="s">
        <v>1677</v>
      </c>
      <c r="B2157" t="str">
        <f>"03074920      "</f>
        <v xml:space="preserve">03074920      </v>
      </c>
      <c r="C2157" t="s">
        <v>4508</v>
      </c>
      <c r="D2157" t="s">
        <v>4508</v>
      </c>
      <c r="E2157" t="s">
        <v>7092</v>
      </c>
      <c r="F2157" t="s">
        <v>7093</v>
      </c>
    </row>
    <row r="2158" spans="1:6" x14ac:dyDescent="0.25">
      <c r="A2158" t="s">
        <v>1677</v>
      </c>
      <c r="B2158" t="str">
        <f>"03074940      "</f>
        <v xml:space="preserve">03074940      </v>
      </c>
      <c r="C2158" t="s">
        <v>1998</v>
      </c>
      <c r="D2158" t="s">
        <v>1998</v>
      </c>
      <c r="E2158" t="s">
        <v>7094</v>
      </c>
      <c r="F2158" t="s">
        <v>7095</v>
      </c>
    </row>
    <row r="2159" spans="1:6" x14ac:dyDescent="0.25">
      <c r="A2159" t="s">
        <v>1677</v>
      </c>
      <c r="B2159" t="str">
        <f>"03074950      "</f>
        <v xml:space="preserve">03074950      </v>
      </c>
      <c r="C2159" t="s">
        <v>7083</v>
      </c>
      <c r="D2159" t="s">
        <v>7083</v>
      </c>
      <c r="E2159" t="s">
        <v>7096</v>
      </c>
      <c r="F2159" t="s">
        <v>7097</v>
      </c>
    </row>
    <row r="2160" spans="1:6" x14ac:dyDescent="0.25">
      <c r="A2160" t="s">
        <v>1677</v>
      </c>
      <c r="B2160" t="str">
        <f>"03074960      "</f>
        <v xml:space="preserve">03074960      </v>
      </c>
      <c r="C2160" t="s">
        <v>4545</v>
      </c>
      <c r="D2160" t="s">
        <v>4545</v>
      </c>
      <c r="E2160" t="s">
        <v>7098</v>
      </c>
      <c r="F2160" t="s">
        <v>7099</v>
      </c>
    </row>
    <row r="2161" spans="1:6" x14ac:dyDescent="0.25">
      <c r="A2161" t="s">
        <v>1677</v>
      </c>
      <c r="B2161" t="str">
        <f>"03074980      "</f>
        <v xml:space="preserve">03074980      </v>
      </c>
      <c r="C2161" t="s">
        <v>6775</v>
      </c>
      <c r="D2161" t="s">
        <v>6775</v>
      </c>
      <c r="E2161" t="s">
        <v>7100</v>
      </c>
      <c r="F2161" t="s">
        <v>7101</v>
      </c>
    </row>
    <row r="2162" spans="1:6" x14ac:dyDescent="0.25">
      <c r="A2162" t="s">
        <v>1677</v>
      </c>
      <c r="B2162" t="str">
        <f>"03075100      "</f>
        <v xml:space="preserve">03075100      </v>
      </c>
      <c r="C2162" t="s">
        <v>7102</v>
      </c>
      <c r="D2162" t="s">
        <v>7102</v>
      </c>
      <c r="E2162" t="s">
        <v>7103</v>
      </c>
      <c r="F2162" t="s">
        <v>7104</v>
      </c>
    </row>
    <row r="2163" spans="1:6" x14ac:dyDescent="0.25">
      <c r="A2163" t="s">
        <v>1677</v>
      </c>
      <c r="B2163" t="str">
        <f>"03075200      "</f>
        <v xml:space="preserve">03075200      </v>
      </c>
      <c r="C2163" t="s">
        <v>7035</v>
      </c>
      <c r="D2163" t="s">
        <v>7035</v>
      </c>
      <c r="E2163" t="s">
        <v>7105</v>
      </c>
      <c r="F2163" t="s">
        <v>7106</v>
      </c>
    </row>
    <row r="2164" spans="1:6" x14ac:dyDescent="0.25">
      <c r="A2164" t="s">
        <v>1677</v>
      </c>
      <c r="B2164" t="str">
        <f>"03075900      "</f>
        <v xml:space="preserve">03075900      </v>
      </c>
      <c r="C2164" t="s">
        <v>6775</v>
      </c>
      <c r="D2164" t="s">
        <v>6775</v>
      </c>
      <c r="E2164" t="s">
        <v>7107</v>
      </c>
      <c r="F2164" t="s">
        <v>7108</v>
      </c>
    </row>
    <row r="2165" spans="1:6" x14ac:dyDescent="0.25">
      <c r="A2165" t="s">
        <v>1677</v>
      </c>
      <c r="B2165" t="str">
        <f>"03076000      "</f>
        <v xml:space="preserve">03076000      </v>
      </c>
      <c r="C2165" t="s">
        <v>7109</v>
      </c>
      <c r="D2165" t="s">
        <v>7109</v>
      </c>
      <c r="E2165" t="s">
        <v>7110</v>
      </c>
      <c r="F2165" t="s">
        <v>7111</v>
      </c>
    </row>
    <row r="2166" spans="1:6" x14ac:dyDescent="0.25">
      <c r="A2166" t="s">
        <v>1677</v>
      </c>
      <c r="B2166" t="str">
        <f>"03077100      "</f>
        <v xml:space="preserve">03077100      </v>
      </c>
      <c r="C2166" t="s">
        <v>7102</v>
      </c>
      <c r="D2166" t="s">
        <v>7102</v>
      </c>
      <c r="E2166" t="s">
        <v>7112</v>
      </c>
      <c r="F2166" t="s">
        <v>7113</v>
      </c>
    </row>
    <row r="2167" spans="1:6" x14ac:dyDescent="0.25">
      <c r="A2167" t="s">
        <v>1677</v>
      </c>
      <c r="B2167" t="str">
        <f>"03077210      "</f>
        <v xml:space="preserve">03077210      </v>
      </c>
      <c r="C2167" t="s">
        <v>7114</v>
      </c>
      <c r="D2167" t="s">
        <v>7114</v>
      </c>
      <c r="E2167" t="s">
        <v>7115</v>
      </c>
      <c r="F2167" t="s">
        <v>7116</v>
      </c>
    </row>
    <row r="2168" spans="1:6" x14ac:dyDescent="0.25">
      <c r="A2168" t="s">
        <v>1677</v>
      </c>
      <c r="B2168" t="str">
        <f>"03077290      "</f>
        <v xml:space="preserve">03077290      </v>
      </c>
      <c r="C2168" t="s">
        <v>6775</v>
      </c>
      <c r="D2168" t="s">
        <v>6775</v>
      </c>
      <c r="E2168" t="s">
        <v>7117</v>
      </c>
      <c r="F2168" t="s">
        <v>7118</v>
      </c>
    </row>
    <row r="2169" spans="1:6" x14ac:dyDescent="0.25">
      <c r="A2169" t="s">
        <v>1677</v>
      </c>
      <c r="B2169" t="str">
        <f>"03077900      "</f>
        <v xml:space="preserve">03077900      </v>
      </c>
      <c r="C2169" t="s">
        <v>6775</v>
      </c>
      <c r="D2169" t="s">
        <v>6775</v>
      </c>
      <c r="E2169" t="s">
        <v>7119</v>
      </c>
      <c r="F2169" t="s">
        <v>7120</v>
      </c>
    </row>
    <row r="2170" spans="1:6" x14ac:dyDescent="0.25">
      <c r="A2170" t="s">
        <v>1677</v>
      </c>
      <c r="B2170" t="str">
        <f>"03078100      "</f>
        <v xml:space="preserve">03078100      </v>
      </c>
      <c r="C2170" t="s">
        <v>7121</v>
      </c>
      <c r="D2170" t="s">
        <v>7121</v>
      </c>
      <c r="E2170" t="s">
        <v>7122</v>
      </c>
      <c r="F2170" t="s">
        <v>7123</v>
      </c>
    </row>
    <row r="2171" spans="1:6" x14ac:dyDescent="0.25">
      <c r="A2171" t="s">
        <v>1677</v>
      </c>
      <c r="B2171" t="str">
        <f>"03078200      "</f>
        <v xml:space="preserve">03078200      </v>
      </c>
      <c r="C2171" t="s">
        <v>7124</v>
      </c>
      <c r="D2171" t="s">
        <v>7124</v>
      </c>
      <c r="E2171" t="s">
        <v>7125</v>
      </c>
      <c r="F2171" t="s">
        <v>7126</v>
      </c>
    </row>
    <row r="2172" spans="1:6" x14ac:dyDescent="0.25">
      <c r="A2172" t="s">
        <v>1677</v>
      </c>
      <c r="B2172" t="str">
        <f>"03078300      "</f>
        <v xml:space="preserve">03078300      </v>
      </c>
      <c r="C2172" t="s">
        <v>7127</v>
      </c>
      <c r="D2172" t="s">
        <v>7127</v>
      </c>
      <c r="E2172" t="s">
        <v>7128</v>
      </c>
      <c r="F2172" t="s">
        <v>7129</v>
      </c>
    </row>
    <row r="2173" spans="1:6" x14ac:dyDescent="0.25">
      <c r="A2173" t="s">
        <v>1677</v>
      </c>
      <c r="B2173" t="str">
        <f>"03078400      "</f>
        <v xml:space="preserve">03078400      </v>
      </c>
      <c r="C2173" t="s">
        <v>7130</v>
      </c>
      <c r="D2173" t="s">
        <v>7130</v>
      </c>
      <c r="E2173" t="s">
        <v>7131</v>
      </c>
      <c r="F2173" t="s">
        <v>7132</v>
      </c>
    </row>
    <row r="2174" spans="1:6" x14ac:dyDescent="0.25">
      <c r="A2174" t="s">
        <v>1677</v>
      </c>
      <c r="B2174" t="str">
        <f>"03078700      "</f>
        <v xml:space="preserve">03078700      </v>
      </c>
      <c r="C2174" t="s">
        <v>7133</v>
      </c>
      <c r="D2174" t="s">
        <v>7133</v>
      </c>
      <c r="E2174" t="s">
        <v>7134</v>
      </c>
      <c r="F2174" t="s">
        <v>7135</v>
      </c>
    </row>
    <row r="2175" spans="1:6" x14ac:dyDescent="0.25">
      <c r="A2175" t="s">
        <v>1677</v>
      </c>
      <c r="B2175" t="str">
        <f>"03078800      "</f>
        <v xml:space="preserve">03078800      </v>
      </c>
      <c r="C2175" t="s">
        <v>7136</v>
      </c>
      <c r="D2175" t="s">
        <v>7136</v>
      </c>
      <c r="E2175" t="s">
        <v>7137</v>
      </c>
      <c r="F2175" t="s">
        <v>7138</v>
      </c>
    </row>
    <row r="2176" spans="1:6" x14ac:dyDescent="0.25">
      <c r="A2176" t="s">
        <v>1677</v>
      </c>
      <c r="B2176" t="str">
        <f>"03079100      "</f>
        <v xml:space="preserve">03079100      </v>
      </c>
      <c r="C2176" t="s">
        <v>7102</v>
      </c>
      <c r="D2176" t="s">
        <v>7102</v>
      </c>
      <c r="E2176" t="s">
        <v>7139</v>
      </c>
      <c r="F2176" t="s">
        <v>7140</v>
      </c>
    </row>
    <row r="2177" spans="1:6" x14ac:dyDescent="0.25">
      <c r="A2177" t="s">
        <v>1677</v>
      </c>
      <c r="B2177" t="str">
        <f>"03079200      "</f>
        <v xml:space="preserve">03079200      </v>
      </c>
      <c r="C2177" t="s">
        <v>7035</v>
      </c>
      <c r="D2177" t="s">
        <v>7035</v>
      </c>
      <c r="E2177" t="s">
        <v>7141</v>
      </c>
      <c r="F2177" t="s">
        <v>7142</v>
      </c>
    </row>
    <row r="2178" spans="1:6" x14ac:dyDescent="0.25">
      <c r="A2178" t="s">
        <v>1677</v>
      </c>
      <c r="B2178" t="str">
        <f>"03079900      "</f>
        <v xml:space="preserve">03079900      </v>
      </c>
      <c r="C2178" t="s">
        <v>6775</v>
      </c>
      <c r="D2178" t="s">
        <v>6775</v>
      </c>
      <c r="E2178" t="s">
        <v>7143</v>
      </c>
      <c r="F2178" t="s">
        <v>7144</v>
      </c>
    </row>
    <row r="2179" spans="1:6" x14ac:dyDescent="0.25">
      <c r="A2179" t="s">
        <v>1677</v>
      </c>
      <c r="B2179" t="str">
        <f>"03081100      "</f>
        <v xml:space="preserve">03081100      </v>
      </c>
      <c r="C2179" t="s">
        <v>7102</v>
      </c>
      <c r="D2179" t="s">
        <v>7102</v>
      </c>
      <c r="E2179" t="s">
        <v>7145</v>
      </c>
      <c r="F2179" t="s">
        <v>7146</v>
      </c>
    </row>
    <row r="2180" spans="1:6" x14ac:dyDescent="0.25">
      <c r="A2180" t="s">
        <v>1677</v>
      </c>
      <c r="B2180" t="str">
        <f>"03081200      "</f>
        <v xml:space="preserve">03081200      </v>
      </c>
      <c r="C2180" t="s">
        <v>7035</v>
      </c>
      <c r="D2180" t="s">
        <v>7035</v>
      </c>
      <c r="E2180" t="s">
        <v>7147</v>
      </c>
      <c r="F2180" t="s">
        <v>7148</v>
      </c>
    </row>
    <row r="2181" spans="1:6" x14ac:dyDescent="0.25">
      <c r="A2181" t="s">
        <v>1677</v>
      </c>
      <c r="B2181" t="str">
        <f>"03081900      "</f>
        <v xml:space="preserve">03081900      </v>
      </c>
      <c r="C2181" t="s">
        <v>6775</v>
      </c>
      <c r="D2181" t="s">
        <v>6775</v>
      </c>
      <c r="E2181" t="s">
        <v>7149</v>
      </c>
      <c r="F2181" t="s">
        <v>7150</v>
      </c>
    </row>
    <row r="2182" spans="1:6" x14ac:dyDescent="0.25">
      <c r="A2182" t="s">
        <v>1677</v>
      </c>
      <c r="B2182" t="str">
        <f>"03082100      "</f>
        <v xml:space="preserve">03082100      </v>
      </c>
      <c r="C2182" t="s">
        <v>7102</v>
      </c>
      <c r="D2182" t="s">
        <v>7102</v>
      </c>
      <c r="E2182" t="s">
        <v>7151</v>
      </c>
      <c r="F2182" t="s">
        <v>7152</v>
      </c>
    </row>
    <row r="2183" spans="1:6" x14ac:dyDescent="0.25">
      <c r="A2183" t="s">
        <v>1677</v>
      </c>
      <c r="B2183" t="str">
        <f>"03082200      "</f>
        <v xml:space="preserve">03082200      </v>
      </c>
      <c r="C2183" t="s">
        <v>7035</v>
      </c>
      <c r="D2183" t="s">
        <v>7035</v>
      </c>
      <c r="E2183" t="s">
        <v>7153</v>
      </c>
      <c r="F2183" t="s">
        <v>7154</v>
      </c>
    </row>
    <row r="2184" spans="1:6" x14ac:dyDescent="0.25">
      <c r="A2184" t="s">
        <v>1677</v>
      </c>
      <c r="B2184" t="str">
        <f>"03082900      "</f>
        <v xml:space="preserve">03082900      </v>
      </c>
      <c r="C2184" t="s">
        <v>6775</v>
      </c>
      <c r="D2184" t="s">
        <v>6775</v>
      </c>
      <c r="E2184" t="s">
        <v>7155</v>
      </c>
      <c r="F2184" t="s">
        <v>7156</v>
      </c>
    </row>
    <row r="2185" spans="1:6" x14ac:dyDescent="0.25">
      <c r="A2185" t="s">
        <v>1677</v>
      </c>
      <c r="B2185" t="str">
        <f>"03083050      "</f>
        <v xml:space="preserve">03083050      </v>
      </c>
      <c r="C2185" t="s">
        <v>7035</v>
      </c>
      <c r="D2185" t="s">
        <v>7035</v>
      </c>
      <c r="E2185" t="s">
        <v>7157</v>
      </c>
      <c r="F2185" t="s">
        <v>7158</v>
      </c>
    </row>
    <row r="2186" spans="1:6" x14ac:dyDescent="0.25">
      <c r="A2186" t="s">
        <v>1677</v>
      </c>
      <c r="B2186" t="str">
        <f>"03083080      "</f>
        <v xml:space="preserve">03083080      </v>
      </c>
      <c r="C2186" t="s">
        <v>6775</v>
      </c>
      <c r="D2186" t="s">
        <v>6775</v>
      </c>
      <c r="E2186" t="s">
        <v>7159</v>
      </c>
      <c r="F2186" t="s">
        <v>7160</v>
      </c>
    </row>
    <row r="2187" spans="1:6" x14ac:dyDescent="0.25">
      <c r="A2187" t="s">
        <v>1677</v>
      </c>
      <c r="B2187" t="str">
        <f>"03089010      "</f>
        <v xml:space="preserve">03089010      </v>
      </c>
      <c r="C2187" t="s">
        <v>7102</v>
      </c>
      <c r="D2187" t="s">
        <v>7102</v>
      </c>
      <c r="E2187" t="s">
        <v>7161</v>
      </c>
      <c r="F2187" t="s">
        <v>7162</v>
      </c>
    </row>
    <row r="2188" spans="1:6" x14ac:dyDescent="0.25">
      <c r="A2188" t="s">
        <v>1677</v>
      </c>
      <c r="B2188" t="str">
        <f>"03089050      "</f>
        <v xml:space="preserve">03089050      </v>
      </c>
      <c r="C2188" t="s">
        <v>7035</v>
      </c>
      <c r="D2188" t="s">
        <v>7035</v>
      </c>
      <c r="E2188" t="s">
        <v>7163</v>
      </c>
      <c r="F2188" t="s">
        <v>7164</v>
      </c>
    </row>
    <row r="2189" spans="1:6" x14ac:dyDescent="0.25">
      <c r="A2189" t="s">
        <v>1677</v>
      </c>
      <c r="B2189" t="str">
        <f>"03089090      "</f>
        <v xml:space="preserve">03089090      </v>
      </c>
      <c r="C2189" t="s">
        <v>6775</v>
      </c>
      <c r="D2189" t="s">
        <v>6775</v>
      </c>
      <c r="E2189" t="s">
        <v>7165</v>
      </c>
      <c r="F2189" t="s">
        <v>7166</v>
      </c>
    </row>
    <row r="2190" spans="1:6" x14ac:dyDescent="0.25">
      <c r="A2190" t="s">
        <v>1677</v>
      </c>
      <c r="B2190" t="str">
        <f>"04039011      "</f>
        <v xml:space="preserve">04039011      </v>
      </c>
      <c r="C2190" t="s">
        <v>7167</v>
      </c>
      <c r="D2190" t="s">
        <v>7167</v>
      </c>
      <c r="E2190" t="s">
        <v>7168</v>
      </c>
      <c r="F2190" t="s">
        <v>7169</v>
      </c>
    </row>
    <row r="2191" spans="1:6" x14ac:dyDescent="0.25">
      <c r="A2191" t="s">
        <v>1677</v>
      </c>
      <c r="B2191" t="str">
        <f>"04039013      "</f>
        <v xml:space="preserve">04039013      </v>
      </c>
      <c r="C2191" t="s">
        <v>7170</v>
      </c>
      <c r="D2191" t="s">
        <v>7170</v>
      </c>
      <c r="E2191" t="s">
        <v>7171</v>
      </c>
      <c r="F2191" t="s">
        <v>7172</v>
      </c>
    </row>
    <row r="2192" spans="1:6" x14ac:dyDescent="0.25">
      <c r="A2192" t="s">
        <v>1677</v>
      </c>
      <c r="B2192" t="str">
        <f>"04039019      "</f>
        <v xml:space="preserve">04039019      </v>
      </c>
      <c r="C2192" t="s">
        <v>7173</v>
      </c>
      <c r="D2192" t="s">
        <v>7173</v>
      </c>
      <c r="E2192" t="s">
        <v>7174</v>
      </c>
      <c r="F2192" t="s">
        <v>7175</v>
      </c>
    </row>
    <row r="2193" spans="1:6" x14ac:dyDescent="0.25">
      <c r="A2193" t="s">
        <v>1677</v>
      </c>
      <c r="B2193" t="str">
        <f>"04039031      "</f>
        <v xml:space="preserve">04039031      </v>
      </c>
      <c r="C2193" t="s">
        <v>7167</v>
      </c>
      <c r="D2193" t="s">
        <v>7167</v>
      </c>
      <c r="E2193" t="s">
        <v>7176</v>
      </c>
      <c r="F2193" t="s">
        <v>7177</v>
      </c>
    </row>
    <row r="2194" spans="1:6" x14ac:dyDescent="0.25">
      <c r="A2194" t="s">
        <v>1677</v>
      </c>
      <c r="B2194" t="str">
        <f>"04039033      "</f>
        <v xml:space="preserve">04039033      </v>
      </c>
      <c r="C2194" t="s">
        <v>7170</v>
      </c>
      <c r="D2194" t="s">
        <v>7170</v>
      </c>
      <c r="E2194" t="s">
        <v>7178</v>
      </c>
      <c r="F2194" t="s">
        <v>7179</v>
      </c>
    </row>
    <row r="2195" spans="1:6" x14ac:dyDescent="0.25">
      <c r="A2195" t="s">
        <v>1677</v>
      </c>
      <c r="B2195" t="str">
        <f>"04039039      "</f>
        <v xml:space="preserve">04039039      </v>
      </c>
      <c r="C2195" t="s">
        <v>7173</v>
      </c>
      <c r="D2195" t="s">
        <v>7173</v>
      </c>
      <c r="E2195" t="s">
        <v>7180</v>
      </c>
      <c r="F2195" t="s">
        <v>7181</v>
      </c>
    </row>
    <row r="2196" spans="1:6" x14ac:dyDescent="0.25">
      <c r="A2196" t="s">
        <v>1677</v>
      </c>
      <c r="B2196" t="str">
        <f>"04039051      "</f>
        <v xml:space="preserve">04039051      </v>
      </c>
      <c r="C2196" t="s">
        <v>7182</v>
      </c>
      <c r="D2196" t="s">
        <v>7182</v>
      </c>
      <c r="E2196" t="s">
        <v>7183</v>
      </c>
      <c r="F2196" t="s">
        <v>7184</v>
      </c>
    </row>
    <row r="2197" spans="1:6" x14ac:dyDescent="0.25">
      <c r="A2197" t="s">
        <v>1677</v>
      </c>
      <c r="B2197" t="str">
        <f>"04039053      "</f>
        <v xml:space="preserve">04039053      </v>
      </c>
      <c r="C2197" t="s">
        <v>7185</v>
      </c>
      <c r="D2197" t="s">
        <v>7185</v>
      </c>
      <c r="E2197" t="s">
        <v>7186</v>
      </c>
      <c r="F2197" t="s">
        <v>7187</v>
      </c>
    </row>
    <row r="2198" spans="1:6" x14ac:dyDescent="0.25">
      <c r="A2198" t="s">
        <v>1677</v>
      </c>
      <c r="B2198" t="str">
        <f>"04039059      "</f>
        <v xml:space="preserve">04039059      </v>
      </c>
      <c r="C2198" t="s">
        <v>7188</v>
      </c>
      <c r="D2198" t="s">
        <v>7188</v>
      </c>
      <c r="E2198" t="s">
        <v>7189</v>
      </c>
      <c r="F2198" t="s">
        <v>7190</v>
      </c>
    </row>
    <row r="2199" spans="1:6" x14ac:dyDescent="0.25">
      <c r="A2199" t="s">
        <v>1677</v>
      </c>
      <c r="B2199" t="str">
        <f>"04039061      "</f>
        <v xml:space="preserve">04039061      </v>
      </c>
      <c r="C2199" t="s">
        <v>7182</v>
      </c>
      <c r="D2199" t="s">
        <v>7182</v>
      </c>
      <c r="E2199" t="s">
        <v>7191</v>
      </c>
      <c r="F2199" t="s">
        <v>7192</v>
      </c>
    </row>
    <row r="2200" spans="1:6" x14ac:dyDescent="0.25">
      <c r="A2200" t="s">
        <v>1677</v>
      </c>
      <c r="B2200" t="str">
        <f>"04039063      "</f>
        <v xml:space="preserve">04039063      </v>
      </c>
      <c r="C2200" t="s">
        <v>7185</v>
      </c>
      <c r="D2200" t="s">
        <v>7185</v>
      </c>
      <c r="E2200" t="s">
        <v>7193</v>
      </c>
      <c r="F2200" t="s">
        <v>7194</v>
      </c>
    </row>
    <row r="2201" spans="1:6" x14ac:dyDescent="0.25">
      <c r="A2201" t="s">
        <v>1677</v>
      </c>
      <c r="B2201" t="str">
        <f>"04039069      "</f>
        <v xml:space="preserve">04039069      </v>
      </c>
      <c r="C2201" t="s">
        <v>7188</v>
      </c>
      <c r="D2201" t="s">
        <v>7188</v>
      </c>
      <c r="E2201" t="s">
        <v>7195</v>
      </c>
      <c r="F2201" t="s">
        <v>7196</v>
      </c>
    </row>
    <row r="2202" spans="1:6" x14ac:dyDescent="0.25">
      <c r="A2202" t="s">
        <v>1677</v>
      </c>
      <c r="B2202" t="str">
        <f>"04039071      "</f>
        <v xml:space="preserve">04039071      </v>
      </c>
      <c r="C2202" t="s">
        <v>7167</v>
      </c>
      <c r="D2202" t="s">
        <v>7167</v>
      </c>
      <c r="E2202" t="s">
        <v>7197</v>
      </c>
      <c r="F2202" t="s">
        <v>7198</v>
      </c>
    </row>
    <row r="2203" spans="1:6" x14ac:dyDescent="0.25">
      <c r="A2203" t="s">
        <v>1677</v>
      </c>
      <c r="B2203" t="str">
        <f>"04039073      "</f>
        <v xml:space="preserve">04039073      </v>
      </c>
      <c r="C2203" t="s">
        <v>7170</v>
      </c>
      <c r="D2203" t="s">
        <v>7170</v>
      </c>
      <c r="E2203" t="s">
        <v>7199</v>
      </c>
      <c r="F2203" t="s">
        <v>7200</v>
      </c>
    </row>
    <row r="2204" spans="1:6" x14ac:dyDescent="0.25">
      <c r="A2204" t="s">
        <v>1677</v>
      </c>
      <c r="B2204" t="str">
        <f>"04039079      "</f>
        <v xml:space="preserve">04039079      </v>
      </c>
      <c r="C2204" t="s">
        <v>7173</v>
      </c>
      <c r="D2204" t="s">
        <v>7173</v>
      </c>
      <c r="E2204" t="s">
        <v>7201</v>
      </c>
      <c r="F2204" t="s">
        <v>7202</v>
      </c>
    </row>
    <row r="2205" spans="1:6" x14ac:dyDescent="0.25">
      <c r="A2205" t="s">
        <v>1677</v>
      </c>
      <c r="B2205" t="str">
        <f>"04039091      "</f>
        <v xml:space="preserve">04039091      </v>
      </c>
      <c r="C2205" t="s">
        <v>7182</v>
      </c>
      <c r="D2205" t="s">
        <v>7182</v>
      </c>
      <c r="E2205" t="s">
        <v>7203</v>
      </c>
      <c r="F2205" t="s">
        <v>7204</v>
      </c>
    </row>
    <row r="2206" spans="1:6" x14ac:dyDescent="0.25">
      <c r="A2206" t="s">
        <v>1677</v>
      </c>
      <c r="B2206" t="str">
        <f>"04039093      "</f>
        <v xml:space="preserve">04039093      </v>
      </c>
      <c r="C2206" t="s">
        <v>7185</v>
      </c>
      <c r="D2206" t="s">
        <v>7185</v>
      </c>
      <c r="E2206" t="s">
        <v>7205</v>
      </c>
      <c r="F2206" t="s">
        <v>7206</v>
      </c>
    </row>
    <row r="2207" spans="1:6" x14ac:dyDescent="0.25">
      <c r="A2207" t="s">
        <v>1677</v>
      </c>
      <c r="B2207" t="str">
        <f>"04039099      "</f>
        <v xml:space="preserve">04039099      </v>
      </c>
      <c r="C2207" t="s">
        <v>7188</v>
      </c>
      <c r="D2207" t="s">
        <v>7188</v>
      </c>
      <c r="E2207" t="s">
        <v>7207</v>
      </c>
      <c r="F2207" t="s">
        <v>7208</v>
      </c>
    </row>
    <row r="2208" spans="1:6" x14ac:dyDescent="0.25">
      <c r="A2208" t="s">
        <v>1677</v>
      </c>
      <c r="B2208" t="str">
        <f>"07112010      "</f>
        <v xml:space="preserve">07112010      </v>
      </c>
      <c r="C2208" t="s">
        <v>7209</v>
      </c>
      <c r="D2208" t="s">
        <v>7209</v>
      </c>
      <c r="E2208" t="s">
        <v>7210</v>
      </c>
      <c r="F2208" t="s">
        <v>7211</v>
      </c>
    </row>
    <row r="2209" spans="1:6" x14ac:dyDescent="0.25">
      <c r="A2209" t="s">
        <v>1677</v>
      </c>
      <c r="B2209" t="str">
        <f>"07112090      "</f>
        <v xml:space="preserve">07112090      </v>
      </c>
      <c r="C2209" t="s">
        <v>6775</v>
      </c>
      <c r="D2209" t="s">
        <v>6775</v>
      </c>
      <c r="E2209" t="s">
        <v>7212</v>
      </c>
      <c r="F2209" t="s">
        <v>7213</v>
      </c>
    </row>
    <row r="2210" spans="1:6" x14ac:dyDescent="0.25">
      <c r="A2210" t="s">
        <v>1677</v>
      </c>
      <c r="B2210" t="str">
        <f>"07114000      "</f>
        <v xml:space="preserve">07114000      </v>
      </c>
      <c r="C2210" t="s">
        <v>7214</v>
      </c>
      <c r="D2210" t="s">
        <v>7214</v>
      </c>
      <c r="E2210" t="s">
        <v>7215</v>
      </c>
      <c r="F2210" t="s">
        <v>7216</v>
      </c>
    </row>
    <row r="2211" spans="1:6" x14ac:dyDescent="0.25">
      <c r="A2211" t="s">
        <v>1677</v>
      </c>
      <c r="B2211" t="str">
        <f>"07115100      "</f>
        <v xml:space="preserve">07115100      </v>
      </c>
      <c r="C2211" t="s">
        <v>7217</v>
      </c>
      <c r="D2211" t="s">
        <v>7217</v>
      </c>
      <c r="E2211" t="s">
        <v>7218</v>
      </c>
      <c r="F2211" t="s">
        <v>7219</v>
      </c>
    </row>
    <row r="2212" spans="1:6" x14ac:dyDescent="0.25">
      <c r="A2212" t="s">
        <v>1677</v>
      </c>
      <c r="B2212" t="str">
        <f>"07115900      "</f>
        <v xml:space="preserve">07115900      </v>
      </c>
      <c r="C2212" t="s">
        <v>6775</v>
      </c>
      <c r="D2212" t="s">
        <v>6775</v>
      </c>
      <c r="E2212" t="s">
        <v>7220</v>
      </c>
      <c r="F2212" t="s">
        <v>7221</v>
      </c>
    </row>
    <row r="2213" spans="1:6" x14ac:dyDescent="0.25">
      <c r="A2213" t="s">
        <v>1677</v>
      </c>
      <c r="B2213" t="str">
        <f>"07119010      "</f>
        <v xml:space="preserve">07119010      </v>
      </c>
      <c r="C2213" t="s">
        <v>7222</v>
      </c>
      <c r="D2213" t="s">
        <v>7222</v>
      </c>
      <c r="E2213" t="s">
        <v>7223</v>
      </c>
      <c r="F2213" t="s">
        <v>7224</v>
      </c>
    </row>
    <row r="2214" spans="1:6" x14ac:dyDescent="0.25">
      <c r="A2214" t="s">
        <v>1677</v>
      </c>
      <c r="B2214" t="str">
        <f>"07119030      "</f>
        <v xml:space="preserve">07119030      </v>
      </c>
      <c r="C2214" t="s">
        <v>7225</v>
      </c>
      <c r="D2214" t="s">
        <v>7225</v>
      </c>
      <c r="E2214" t="s">
        <v>7226</v>
      </c>
      <c r="F2214" t="s">
        <v>7227</v>
      </c>
    </row>
    <row r="2215" spans="1:6" x14ac:dyDescent="0.25">
      <c r="A2215" t="s">
        <v>1677</v>
      </c>
      <c r="B2215" t="str">
        <f>"07119050      "</f>
        <v xml:space="preserve">07119050      </v>
      </c>
      <c r="C2215" t="s">
        <v>7228</v>
      </c>
      <c r="D2215" t="s">
        <v>7228</v>
      </c>
      <c r="E2215" t="s">
        <v>7229</v>
      </c>
      <c r="F2215" t="s">
        <v>7230</v>
      </c>
    </row>
    <row r="2216" spans="1:6" x14ac:dyDescent="0.25">
      <c r="A2216" t="s">
        <v>1677</v>
      </c>
      <c r="B2216" t="str">
        <f>"07119070      "</f>
        <v xml:space="preserve">07119070      </v>
      </c>
      <c r="C2216" t="s">
        <v>7231</v>
      </c>
      <c r="D2216" t="s">
        <v>7231</v>
      </c>
      <c r="E2216" t="s">
        <v>7232</v>
      </c>
      <c r="F2216" t="s">
        <v>7233</v>
      </c>
    </row>
    <row r="2217" spans="1:6" x14ac:dyDescent="0.25">
      <c r="A2217" t="s">
        <v>1677</v>
      </c>
      <c r="B2217" t="str">
        <f>"07119080      "</f>
        <v xml:space="preserve">07119080      </v>
      </c>
      <c r="C2217" t="s">
        <v>7234</v>
      </c>
      <c r="D2217" t="s">
        <v>7234</v>
      </c>
      <c r="E2217" t="s">
        <v>7235</v>
      </c>
      <c r="F2217" t="s">
        <v>7236</v>
      </c>
    </row>
    <row r="2218" spans="1:6" x14ac:dyDescent="0.25">
      <c r="A2218" t="s">
        <v>1677</v>
      </c>
      <c r="B2218" t="str">
        <f>"07119090      "</f>
        <v xml:space="preserve">07119090      </v>
      </c>
      <c r="C2218" t="s">
        <v>7237</v>
      </c>
      <c r="D2218" t="s">
        <v>7237</v>
      </c>
      <c r="E2218" t="s">
        <v>7238</v>
      </c>
      <c r="F2218" t="s">
        <v>7239</v>
      </c>
    </row>
    <row r="2219" spans="1:6" x14ac:dyDescent="0.25">
      <c r="A2219" t="s">
        <v>1677</v>
      </c>
      <c r="B2219" t="str">
        <f>"08121000      "</f>
        <v xml:space="preserve">08121000      </v>
      </c>
      <c r="C2219" t="s">
        <v>7240</v>
      </c>
      <c r="D2219" t="s">
        <v>7240</v>
      </c>
      <c r="E2219" t="s">
        <v>7241</v>
      </c>
      <c r="F2219" t="s">
        <v>7242</v>
      </c>
    </row>
    <row r="2220" spans="1:6" x14ac:dyDescent="0.25">
      <c r="A2220" t="s">
        <v>1677</v>
      </c>
      <c r="B2220" t="str">
        <f>"08129025      "</f>
        <v xml:space="preserve">08129025      </v>
      </c>
      <c r="C2220" t="s">
        <v>7243</v>
      </c>
      <c r="D2220" t="s">
        <v>7243</v>
      </c>
      <c r="E2220" t="s">
        <v>7244</v>
      </c>
      <c r="F2220" t="s">
        <v>7245</v>
      </c>
    </row>
    <row r="2221" spans="1:6" x14ac:dyDescent="0.25">
      <c r="A2221" t="s">
        <v>1677</v>
      </c>
      <c r="B2221" t="str">
        <f>"08129030      "</f>
        <v xml:space="preserve">08129030      </v>
      </c>
      <c r="C2221" t="s">
        <v>7246</v>
      </c>
      <c r="D2221" t="s">
        <v>7246</v>
      </c>
      <c r="E2221" t="s">
        <v>7247</v>
      </c>
      <c r="F2221" t="s">
        <v>7248</v>
      </c>
    </row>
    <row r="2222" spans="1:6" x14ac:dyDescent="0.25">
      <c r="A2222" t="s">
        <v>1677</v>
      </c>
      <c r="B2222" t="str">
        <f>"08129040      "</f>
        <v xml:space="preserve">08129040      </v>
      </c>
      <c r="C2222" t="s">
        <v>7249</v>
      </c>
      <c r="D2222" t="s">
        <v>7249</v>
      </c>
      <c r="E2222" t="s">
        <v>7250</v>
      </c>
      <c r="F2222" t="s">
        <v>7251</v>
      </c>
    </row>
    <row r="2223" spans="1:6" x14ac:dyDescent="0.25">
      <c r="A2223" t="s">
        <v>1677</v>
      </c>
      <c r="B2223" t="str">
        <f>"08129070      "</f>
        <v xml:space="preserve">08129070      </v>
      </c>
      <c r="C2223" t="s">
        <v>7252</v>
      </c>
      <c r="D2223" t="s">
        <v>7252</v>
      </c>
      <c r="E2223" t="s">
        <v>7253</v>
      </c>
      <c r="F2223" t="s">
        <v>7254</v>
      </c>
    </row>
    <row r="2224" spans="1:6" x14ac:dyDescent="0.25">
      <c r="A2224" t="s">
        <v>1677</v>
      </c>
      <c r="B2224" t="str">
        <f>"08129098      "</f>
        <v xml:space="preserve">08129098      </v>
      </c>
      <c r="C2224" t="s">
        <v>6775</v>
      </c>
      <c r="D2224" t="s">
        <v>6775</v>
      </c>
      <c r="E2224" t="s">
        <v>7255</v>
      </c>
      <c r="F2224" t="s">
        <v>7256</v>
      </c>
    </row>
    <row r="2225" spans="1:6" x14ac:dyDescent="0.25">
      <c r="A2225" t="s">
        <v>1677</v>
      </c>
      <c r="B2225" t="str">
        <f>"15011010      "</f>
        <v xml:space="preserve">15011010      </v>
      </c>
      <c r="C2225" t="s">
        <v>7257</v>
      </c>
      <c r="D2225" t="s">
        <v>7257</v>
      </c>
      <c r="E2225" t="s">
        <v>7258</v>
      </c>
      <c r="F2225" t="s">
        <v>7259</v>
      </c>
    </row>
    <row r="2226" spans="1:6" x14ac:dyDescent="0.25">
      <c r="A2226" t="s">
        <v>1677</v>
      </c>
      <c r="B2226" t="str">
        <f>"15011090      "</f>
        <v xml:space="preserve">15011090      </v>
      </c>
      <c r="C2226" t="s">
        <v>7234</v>
      </c>
      <c r="D2226" t="s">
        <v>7234</v>
      </c>
      <c r="E2226" t="s">
        <v>7260</v>
      </c>
      <c r="F2226" t="s">
        <v>7261</v>
      </c>
    </row>
    <row r="2227" spans="1:6" x14ac:dyDescent="0.25">
      <c r="A2227" t="s">
        <v>1677</v>
      </c>
      <c r="B2227" t="str">
        <f>"15012010      "</f>
        <v xml:space="preserve">15012010      </v>
      </c>
      <c r="C2227" t="s">
        <v>7257</v>
      </c>
      <c r="D2227" t="s">
        <v>7257</v>
      </c>
      <c r="E2227" t="s">
        <v>7262</v>
      </c>
      <c r="F2227" t="s">
        <v>7263</v>
      </c>
    </row>
    <row r="2228" spans="1:6" x14ac:dyDescent="0.25">
      <c r="A2228" t="s">
        <v>1677</v>
      </c>
      <c r="B2228" t="str">
        <f>"15012090      "</f>
        <v xml:space="preserve">15012090      </v>
      </c>
      <c r="C2228" t="s">
        <v>7234</v>
      </c>
      <c r="D2228" t="s">
        <v>7234</v>
      </c>
      <c r="E2228" t="s">
        <v>7264</v>
      </c>
      <c r="F2228" t="s">
        <v>7265</v>
      </c>
    </row>
    <row r="2229" spans="1:6" x14ac:dyDescent="0.25">
      <c r="A2229" t="s">
        <v>1677</v>
      </c>
      <c r="B2229" t="str">
        <f>"15019000      "</f>
        <v xml:space="preserve">15019000      </v>
      </c>
      <c r="C2229" t="s">
        <v>7234</v>
      </c>
      <c r="D2229" t="s">
        <v>7234</v>
      </c>
      <c r="E2229" t="s">
        <v>7266</v>
      </c>
      <c r="F2229" t="s">
        <v>7267</v>
      </c>
    </row>
    <row r="2230" spans="1:6" x14ac:dyDescent="0.25">
      <c r="A2230" t="s">
        <v>1677</v>
      </c>
      <c r="B2230" t="str">
        <f>"15021010      "</f>
        <v xml:space="preserve">15021010      </v>
      </c>
      <c r="C2230" t="s">
        <v>7257</v>
      </c>
      <c r="D2230" t="s">
        <v>7257</v>
      </c>
      <c r="E2230" t="s">
        <v>7268</v>
      </c>
      <c r="F2230" t="s">
        <v>7269</v>
      </c>
    </row>
    <row r="2231" spans="1:6" x14ac:dyDescent="0.25">
      <c r="A2231" t="s">
        <v>1677</v>
      </c>
      <c r="B2231" t="str">
        <f>"15021090      "</f>
        <v xml:space="preserve">15021090      </v>
      </c>
      <c r="C2231" t="s">
        <v>7234</v>
      </c>
      <c r="D2231" t="s">
        <v>7234</v>
      </c>
      <c r="E2231" t="s">
        <v>7270</v>
      </c>
      <c r="F2231" t="s">
        <v>7271</v>
      </c>
    </row>
    <row r="2232" spans="1:6" x14ac:dyDescent="0.25">
      <c r="A2232" t="s">
        <v>1677</v>
      </c>
      <c r="B2232" t="str">
        <f>"15029010      "</f>
        <v xml:space="preserve">15029010      </v>
      </c>
      <c r="C2232" t="s">
        <v>7257</v>
      </c>
      <c r="D2232" t="s">
        <v>7257</v>
      </c>
      <c r="E2232" t="s">
        <v>7272</v>
      </c>
      <c r="F2232" t="s">
        <v>7273</v>
      </c>
    </row>
    <row r="2233" spans="1:6" x14ac:dyDescent="0.25">
      <c r="A2233" t="s">
        <v>1677</v>
      </c>
      <c r="B2233" t="str">
        <f>"15029090      "</f>
        <v xml:space="preserve">15029090      </v>
      </c>
      <c r="C2233" t="s">
        <v>7234</v>
      </c>
      <c r="D2233" t="s">
        <v>7234</v>
      </c>
      <c r="E2233" t="s">
        <v>7274</v>
      </c>
      <c r="F2233" t="s">
        <v>7275</v>
      </c>
    </row>
    <row r="2234" spans="1:6" x14ac:dyDescent="0.25">
      <c r="A2234" t="s">
        <v>1677</v>
      </c>
      <c r="B2234" t="str">
        <f>"15030011      "</f>
        <v xml:space="preserve">15030011      </v>
      </c>
      <c r="C2234" t="s">
        <v>7276</v>
      </c>
      <c r="D2234" t="s">
        <v>7276</v>
      </c>
      <c r="E2234" t="s">
        <v>7277</v>
      </c>
      <c r="F2234" t="s">
        <v>7278</v>
      </c>
    </row>
    <row r="2235" spans="1:6" x14ac:dyDescent="0.25">
      <c r="A2235" t="s">
        <v>1677</v>
      </c>
      <c r="B2235" t="str">
        <f>"15030019      "</f>
        <v xml:space="preserve">15030019      </v>
      </c>
      <c r="C2235" t="s">
        <v>6775</v>
      </c>
      <c r="D2235" t="s">
        <v>6775</v>
      </c>
      <c r="E2235" t="s">
        <v>7279</v>
      </c>
      <c r="F2235" t="s">
        <v>7280</v>
      </c>
    </row>
    <row r="2236" spans="1:6" x14ac:dyDescent="0.25">
      <c r="A2236" t="s">
        <v>1677</v>
      </c>
      <c r="B2236" t="str">
        <f>"15030030      "</f>
        <v xml:space="preserve">15030030      </v>
      </c>
      <c r="C2236" t="s">
        <v>7281</v>
      </c>
      <c r="D2236" t="s">
        <v>7281</v>
      </c>
      <c r="E2236" t="s">
        <v>7282</v>
      </c>
      <c r="F2236" t="s">
        <v>7283</v>
      </c>
    </row>
    <row r="2237" spans="1:6" x14ac:dyDescent="0.25">
      <c r="A2237" t="s">
        <v>1677</v>
      </c>
      <c r="B2237" t="str">
        <f>"15030090      "</f>
        <v xml:space="preserve">15030090      </v>
      </c>
      <c r="C2237" t="s">
        <v>6775</v>
      </c>
      <c r="D2237" t="s">
        <v>6775</v>
      </c>
      <c r="E2237" t="s">
        <v>7284</v>
      </c>
      <c r="F2237" t="s">
        <v>7285</v>
      </c>
    </row>
    <row r="2238" spans="1:6" x14ac:dyDescent="0.25">
      <c r="A2238" t="s">
        <v>1677</v>
      </c>
      <c r="B2238" t="str">
        <f>"15041010      "</f>
        <v xml:space="preserve">15041010      </v>
      </c>
      <c r="C2238" t="s">
        <v>7286</v>
      </c>
      <c r="D2238" t="s">
        <v>7286</v>
      </c>
      <c r="E2238" t="s">
        <v>7287</v>
      </c>
      <c r="F2238" t="s">
        <v>7288</v>
      </c>
    </row>
    <row r="2239" spans="1:6" x14ac:dyDescent="0.25">
      <c r="A2239" t="s">
        <v>1677</v>
      </c>
      <c r="B2239" t="str">
        <f>"15041091      "</f>
        <v xml:space="preserve">15041091      </v>
      </c>
      <c r="C2239" t="s">
        <v>7289</v>
      </c>
      <c r="D2239" t="s">
        <v>7289</v>
      </c>
      <c r="E2239" t="s">
        <v>7290</v>
      </c>
      <c r="F2239" t="s">
        <v>7291</v>
      </c>
    </row>
    <row r="2240" spans="1:6" x14ac:dyDescent="0.25">
      <c r="A2240" t="s">
        <v>1677</v>
      </c>
      <c r="B2240" t="str">
        <f>"15041099      "</f>
        <v xml:space="preserve">15041099      </v>
      </c>
      <c r="C2240" t="s">
        <v>6775</v>
      </c>
      <c r="D2240" t="s">
        <v>6775</v>
      </c>
      <c r="E2240" t="s">
        <v>7292</v>
      </c>
      <c r="F2240" t="s">
        <v>7293</v>
      </c>
    </row>
    <row r="2241" spans="1:6" x14ac:dyDescent="0.25">
      <c r="A2241" t="s">
        <v>1677</v>
      </c>
      <c r="B2241" t="str">
        <f>"15042010      "</f>
        <v xml:space="preserve">15042010      </v>
      </c>
      <c r="C2241" t="s">
        <v>7294</v>
      </c>
      <c r="D2241" t="s">
        <v>7294</v>
      </c>
      <c r="E2241" t="s">
        <v>7295</v>
      </c>
      <c r="F2241" t="s">
        <v>7296</v>
      </c>
    </row>
    <row r="2242" spans="1:6" x14ac:dyDescent="0.25">
      <c r="A2242" t="s">
        <v>1677</v>
      </c>
      <c r="B2242" t="str">
        <f>"15042090      "</f>
        <v xml:space="preserve">15042090      </v>
      </c>
      <c r="C2242" t="s">
        <v>6775</v>
      </c>
      <c r="D2242" t="s">
        <v>6775</v>
      </c>
      <c r="E2242" t="s">
        <v>7297</v>
      </c>
      <c r="F2242" t="s">
        <v>7298</v>
      </c>
    </row>
    <row r="2243" spans="1:6" x14ac:dyDescent="0.25">
      <c r="A2243" t="s">
        <v>1677</v>
      </c>
      <c r="B2243" t="str">
        <f>"15043010      "</f>
        <v xml:space="preserve">15043010      </v>
      </c>
      <c r="C2243" t="s">
        <v>7294</v>
      </c>
      <c r="D2243" t="s">
        <v>7294</v>
      </c>
      <c r="E2243" t="s">
        <v>7299</v>
      </c>
      <c r="F2243" t="s">
        <v>7300</v>
      </c>
    </row>
    <row r="2244" spans="1:6" x14ac:dyDescent="0.25">
      <c r="A2244" t="s">
        <v>1677</v>
      </c>
      <c r="B2244" t="str">
        <f>"15043090      "</f>
        <v xml:space="preserve">15043090      </v>
      </c>
      <c r="C2244" t="s">
        <v>6775</v>
      </c>
      <c r="D2244" t="s">
        <v>6775</v>
      </c>
      <c r="E2244" t="s">
        <v>7301</v>
      </c>
      <c r="F2244" t="s">
        <v>7302</v>
      </c>
    </row>
    <row r="2245" spans="1:6" x14ac:dyDescent="0.25">
      <c r="A2245" t="s">
        <v>1677</v>
      </c>
      <c r="B2245" t="str">
        <f>"15050010      "</f>
        <v xml:space="preserve">15050010      </v>
      </c>
      <c r="C2245" t="s">
        <v>7303</v>
      </c>
      <c r="D2245" t="s">
        <v>7303</v>
      </c>
      <c r="E2245" t="s">
        <v>7304</v>
      </c>
      <c r="F2245" t="s">
        <v>7305</v>
      </c>
    </row>
    <row r="2246" spans="1:6" x14ac:dyDescent="0.25">
      <c r="A2246" t="s">
        <v>1677</v>
      </c>
      <c r="B2246" t="str">
        <f>"15050090      "</f>
        <v xml:space="preserve">15050090      </v>
      </c>
      <c r="C2246" t="s">
        <v>6775</v>
      </c>
      <c r="D2246" t="s">
        <v>6775</v>
      </c>
      <c r="E2246" t="s">
        <v>7306</v>
      </c>
      <c r="F2246" t="s">
        <v>7307</v>
      </c>
    </row>
    <row r="2247" spans="1:6" x14ac:dyDescent="0.25">
      <c r="A2247" t="s">
        <v>1677</v>
      </c>
      <c r="B2247" t="str">
        <f>"15060000      "</f>
        <v xml:space="preserve">15060000      </v>
      </c>
      <c r="C2247" t="s">
        <v>7308</v>
      </c>
      <c r="D2247" t="s">
        <v>7308</v>
      </c>
      <c r="E2247" t="s">
        <v>7309</v>
      </c>
      <c r="F2247" t="s">
        <v>7310</v>
      </c>
    </row>
    <row r="2248" spans="1:6" x14ac:dyDescent="0.25">
      <c r="A2248" t="s">
        <v>1677</v>
      </c>
      <c r="B2248" t="str">
        <f>"15071010      "</f>
        <v xml:space="preserve">15071010      </v>
      </c>
      <c r="C2248" t="s">
        <v>7311</v>
      </c>
      <c r="D2248" t="s">
        <v>7311</v>
      </c>
      <c r="E2248" t="s">
        <v>7312</v>
      </c>
      <c r="F2248" t="s">
        <v>7313</v>
      </c>
    </row>
    <row r="2249" spans="1:6" x14ac:dyDescent="0.25">
      <c r="A2249" t="s">
        <v>1677</v>
      </c>
      <c r="B2249" t="str">
        <f>"15071090      "</f>
        <v xml:space="preserve">15071090      </v>
      </c>
      <c r="C2249" t="s">
        <v>7234</v>
      </c>
      <c r="D2249" t="s">
        <v>7234</v>
      </c>
      <c r="E2249" t="s">
        <v>7314</v>
      </c>
      <c r="F2249" t="s">
        <v>7315</v>
      </c>
    </row>
    <row r="2250" spans="1:6" x14ac:dyDescent="0.25">
      <c r="A2250" t="s">
        <v>1677</v>
      </c>
      <c r="B2250" t="str">
        <f>"15079010      "</f>
        <v xml:space="preserve">15079010      </v>
      </c>
      <c r="C2250" t="s">
        <v>7311</v>
      </c>
      <c r="D2250" t="s">
        <v>7311</v>
      </c>
      <c r="E2250" t="s">
        <v>7316</v>
      </c>
      <c r="F2250" t="s">
        <v>7317</v>
      </c>
    </row>
    <row r="2251" spans="1:6" x14ac:dyDescent="0.25">
      <c r="A2251" t="s">
        <v>1677</v>
      </c>
      <c r="B2251" t="str">
        <f>"15079090      "</f>
        <v xml:space="preserve">15079090      </v>
      </c>
      <c r="C2251" t="s">
        <v>6775</v>
      </c>
      <c r="D2251" t="s">
        <v>6775</v>
      </c>
      <c r="E2251" t="s">
        <v>7318</v>
      </c>
      <c r="F2251" t="s">
        <v>7319</v>
      </c>
    </row>
    <row r="2252" spans="1:6" x14ac:dyDescent="0.25">
      <c r="A2252" t="s">
        <v>1677</v>
      </c>
      <c r="B2252" t="str">
        <f>"15081010      "</f>
        <v xml:space="preserve">15081010      </v>
      </c>
      <c r="C2252" t="s">
        <v>7311</v>
      </c>
      <c r="D2252" t="s">
        <v>7311</v>
      </c>
      <c r="E2252" t="s">
        <v>7320</v>
      </c>
      <c r="F2252" t="s">
        <v>7321</v>
      </c>
    </row>
    <row r="2253" spans="1:6" x14ac:dyDescent="0.25">
      <c r="A2253" t="s">
        <v>1677</v>
      </c>
      <c r="B2253" t="str">
        <f>"15081090      "</f>
        <v xml:space="preserve">15081090      </v>
      </c>
      <c r="C2253" t="s">
        <v>7234</v>
      </c>
      <c r="D2253" t="s">
        <v>7234</v>
      </c>
      <c r="E2253" t="s">
        <v>7322</v>
      </c>
      <c r="F2253" t="s">
        <v>7323</v>
      </c>
    </row>
    <row r="2254" spans="1:6" x14ac:dyDescent="0.25">
      <c r="A2254" t="s">
        <v>1677</v>
      </c>
      <c r="B2254" t="str">
        <f>"15089010      "</f>
        <v xml:space="preserve">15089010      </v>
      </c>
      <c r="C2254" t="s">
        <v>7311</v>
      </c>
      <c r="D2254" t="s">
        <v>7311</v>
      </c>
      <c r="E2254" t="s">
        <v>7324</v>
      </c>
      <c r="F2254" t="s">
        <v>7325</v>
      </c>
    </row>
    <row r="2255" spans="1:6" x14ac:dyDescent="0.25">
      <c r="A2255" t="s">
        <v>1677</v>
      </c>
      <c r="B2255" t="str">
        <f>"15089090      "</f>
        <v xml:space="preserve">15089090      </v>
      </c>
      <c r="C2255" t="s">
        <v>6775</v>
      </c>
      <c r="D2255" t="s">
        <v>6775</v>
      </c>
      <c r="E2255" t="s">
        <v>7326</v>
      </c>
      <c r="F2255" t="s">
        <v>7327</v>
      </c>
    </row>
    <row r="2256" spans="1:6" x14ac:dyDescent="0.25">
      <c r="A2256" t="s">
        <v>1677</v>
      </c>
      <c r="B2256" t="str">
        <f>"15099000      "</f>
        <v xml:space="preserve">15099000      </v>
      </c>
      <c r="C2256" t="s">
        <v>7234</v>
      </c>
      <c r="D2256" t="s">
        <v>7234</v>
      </c>
      <c r="E2256" t="s">
        <v>7328</v>
      </c>
      <c r="F2256" t="s">
        <v>7329</v>
      </c>
    </row>
    <row r="2257" spans="1:6" x14ac:dyDescent="0.25">
      <c r="A2257" t="s">
        <v>1677</v>
      </c>
      <c r="B2257" t="str">
        <f>"15111010      "</f>
        <v xml:space="preserve">15111010      </v>
      </c>
      <c r="C2257" t="s">
        <v>7311</v>
      </c>
      <c r="D2257" t="s">
        <v>7311</v>
      </c>
      <c r="E2257" t="s">
        <v>7330</v>
      </c>
      <c r="F2257" t="s">
        <v>7331</v>
      </c>
    </row>
    <row r="2258" spans="1:6" x14ac:dyDescent="0.25">
      <c r="A2258" t="s">
        <v>1677</v>
      </c>
      <c r="B2258" t="str">
        <f>"15111090      "</f>
        <v xml:space="preserve">15111090      </v>
      </c>
      <c r="C2258" t="s">
        <v>7234</v>
      </c>
      <c r="D2258" t="s">
        <v>7234</v>
      </c>
      <c r="E2258" t="s">
        <v>7332</v>
      </c>
      <c r="F2258" t="s">
        <v>7333</v>
      </c>
    </row>
    <row r="2259" spans="1:6" x14ac:dyDescent="0.25">
      <c r="A2259" t="s">
        <v>1677</v>
      </c>
      <c r="B2259" t="str">
        <f>"15119011      "</f>
        <v xml:space="preserve">15119011      </v>
      </c>
      <c r="C2259" t="s">
        <v>7334</v>
      </c>
      <c r="D2259" t="s">
        <v>7334</v>
      </c>
      <c r="E2259" t="s">
        <v>7335</v>
      </c>
      <c r="F2259" t="s">
        <v>7336</v>
      </c>
    </row>
    <row r="2260" spans="1:6" x14ac:dyDescent="0.25">
      <c r="A2260" t="s">
        <v>1677</v>
      </c>
      <c r="B2260" t="str">
        <f>"15119019      "</f>
        <v xml:space="preserve">15119019      </v>
      </c>
      <c r="C2260" t="s">
        <v>7337</v>
      </c>
      <c r="D2260" t="s">
        <v>7337</v>
      </c>
      <c r="E2260" t="s">
        <v>7338</v>
      </c>
      <c r="F2260" t="s">
        <v>7339</v>
      </c>
    </row>
    <row r="2261" spans="1:6" x14ac:dyDescent="0.25">
      <c r="A2261" t="s">
        <v>1677</v>
      </c>
      <c r="B2261" t="str">
        <f>"15119091      "</f>
        <v xml:space="preserve">15119091      </v>
      </c>
      <c r="C2261" t="s">
        <v>7311</v>
      </c>
      <c r="D2261" t="s">
        <v>7311</v>
      </c>
      <c r="E2261" t="s">
        <v>7340</v>
      </c>
      <c r="F2261" t="s">
        <v>7341</v>
      </c>
    </row>
    <row r="2262" spans="1:6" x14ac:dyDescent="0.25">
      <c r="A2262" t="s">
        <v>1677</v>
      </c>
      <c r="B2262" t="str">
        <f>"15119099      "</f>
        <v xml:space="preserve">15119099      </v>
      </c>
      <c r="C2262" t="s">
        <v>6775</v>
      </c>
      <c r="D2262" t="s">
        <v>6775</v>
      </c>
      <c r="E2262" t="s">
        <v>7342</v>
      </c>
      <c r="F2262" t="s">
        <v>7343</v>
      </c>
    </row>
    <row r="2263" spans="1:6" x14ac:dyDescent="0.25">
      <c r="A2263" t="s">
        <v>1677</v>
      </c>
      <c r="B2263" t="str">
        <f>"15121110      "</f>
        <v xml:space="preserve">15121110      </v>
      </c>
      <c r="C2263" t="s">
        <v>7311</v>
      </c>
      <c r="D2263" t="s">
        <v>7311</v>
      </c>
      <c r="E2263" t="s">
        <v>7344</v>
      </c>
      <c r="F2263" t="s">
        <v>7345</v>
      </c>
    </row>
    <row r="2264" spans="1:6" x14ac:dyDescent="0.25">
      <c r="A2264" t="s">
        <v>1677</v>
      </c>
      <c r="B2264" t="str">
        <f>"15121191      "</f>
        <v xml:space="preserve">15121191      </v>
      </c>
      <c r="C2264" t="s">
        <v>7346</v>
      </c>
      <c r="D2264" t="s">
        <v>7346</v>
      </c>
      <c r="E2264" t="s">
        <v>7347</v>
      </c>
      <c r="F2264" t="s">
        <v>7348</v>
      </c>
    </row>
    <row r="2265" spans="1:6" x14ac:dyDescent="0.25">
      <c r="A2265" t="s">
        <v>1677</v>
      </c>
      <c r="B2265" t="str">
        <f>"15121199      "</f>
        <v xml:space="preserve">15121199      </v>
      </c>
      <c r="C2265" t="s">
        <v>7349</v>
      </c>
      <c r="D2265" t="s">
        <v>7349</v>
      </c>
      <c r="E2265" t="s">
        <v>7350</v>
      </c>
      <c r="F2265" t="s">
        <v>7351</v>
      </c>
    </row>
    <row r="2266" spans="1:6" x14ac:dyDescent="0.25">
      <c r="A2266" t="s">
        <v>1677</v>
      </c>
      <c r="B2266" t="str">
        <f>"15121910      "</f>
        <v xml:space="preserve">15121910      </v>
      </c>
      <c r="C2266" t="s">
        <v>7311</v>
      </c>
      <c r="D2266" t="s">
        <v>7311</v>
      </c>
      <c r="E2266" t="s">
        <v>7352</v>
      </c>
      <c r="F2266" t="s">
        <v>7353</v>
      </c>
    </row>
    <row r="2267" spans="1:6" x14ac:dyDescent="0.25">
      <c r="A2267" t="s">
        <v>1677</v>
      </c>
      <c r="B2267" t="str">
        <f>"15121990      "</f>
        <v xml:space="preserve">15121990      </v>
      </c>
      <c r="C2267" t="s">
        <v>6775</v>
      </c>
      <c r="D2267" t="s">
        <v>6775</v>
      </c>
      <c r="E2267" t="s">
        <v>7354</v>
      </c>
      <c r="F2267" t="s">
        <v>7355</v>
      </c>
    </row>
    <row r="2268" spans="1:6" x14ac:dyDescent="0.25">
      <c r="A2268" t="s">
        <v>1677</v>
      </c>
      <c r="B2268" t="str">
        <f>"15122110      "</f>
        <v xml:space="preserve">15122110      </v>
      </c>
      <c r="C2268" t="s">
        <v>7311</v>
      </c>
      <c r="D2268" t="s">
        <v>7311</v>
      </c>
      <c r="E2268" t="s">
        <v>7356</v>
      </c>
      <c r="F2268" t="s">
        <v>7357</v>
      </c>
    </row>
    <row r="2269" spans="1:6" x14ac:dyDescent="0.25">
      <c r="A2269" t="s">
        <v>1677</v>
      </c>
      <c r="B2269" t="str">
        <f>"15122190      "</f>
        <v xml:space="preserve">15122190      </v>
      </c>
      <c r="C2269" t="s">
        <v>7234</v>
      </c>
      <c r="D2269" t="s">
        <v>7234</v>
      </c>
      <c r="E2269" t="s">
        <v>7358</v>
      </c>
      <c r="F2269" t="s">
        <v>7359</v>
      </c>
    </row>
    <row r="2270" spans="1:6" x14ac:dyDescent="0.25">
      <c r="A2270" t="s">
        <v>1677</v>
      </c>
      <c r="B2270" t="str">
        <f>"15122910      "</f>
        <v xml:space="preserve">15122910      </v>
      </c>
      <c r="C2270" t="s">
        <v>7311</v>
      </c>
      <c r="D2270" t="s">
        <v>7311</v>
      </c>
      <c r="E2270" t="s">
        <v>7360</v>
      </c>
      <c r="F2270" t="s">
        <v>7361</v>
      </c>
    </row>
    <row r="2271" spans="1:6" x14ac:dyDescent="0.25">
      <c r="A2271" t="s">
        <v>1677</v>
      </c>
      <c r="B2271" t="str">
        <f>"15122990      "</f>
        <v xml:space="preserve">15122990      </v>
      </c>
      <c r="C2271" t="s">
        <v>6775</v>
      </c>
      <c r="D2271" t="s">
        <v>6775</v>
      </c>
      <c r="E2271" t="s">
        <v>7362</v>
      </c>
      <c r="F2271" t="s">
        <v>7363</v>
      </c>
    </row>
    <row r="2272" spans="1:6" x14ac:dyDescent="0.25">
      <c r="A2272" t="s">
        <v>1677</v>
      </c>
      <c r="B2272" t="str">
        <f>"15131110      "</f>
        <v xml:space="preserve">15131110      </v>
      </c>
      <c r="C2272" t="s">
        <v>7311</v>
      </c>
      <c r="D2272" t="s">
        <v>7311</v>
      </c>
      <c r="E2272" t="s">
        <v>7364</v>
      </c>
      <c r="F2272" t="s">
        <v>7365</v>
      </c>
    </row>
    <row r="2273" spans="1:6" x14ac:dyDescent="0.25">
      <c r="A2273" t="s">
        <v>1677</v>
      </c>
      <c r="B2273" t="str">
        <f>"15131191      "</f>
        <v xml:space="preserve">15131191      </v>
      </c>
      <c r="C2273" t="s">
        <v>7334</v>
      </c>
      <c r="D2273" t="s">
        <v>7334</v>
      </c>
      <c r="E2273" t="s">
        <v>7366</v>
      </c>
      <c r="F2273" t="s">
        <v>7367</v>
      </c>
    </row>
    <row r="2274" spans="1:6" x14ac:dyDescent="0.25">
      <c r="A2274" t="s">
        <v>1677</v>
      </c>
      <c r="B2274" t="str">
        <f>"15131199      "</f>
        <v xml:space="preserve">15131199      </v>
      </c>
      <c r="C2274" t="s">
        <v>7337</v>
      </c>
      <c r="D2274" t="s">
        <v>7337</v>
      </c>
      <c r="E2274" t="s">
        <v>7368</v>
      </c>
      <c r="F2274" t="s">
        <v>7369</v>
      </c>
    </row>
    <row r="2275" spans="1:6" x14ac:dyDescent="0.25">
      <c r="A2275" t="s">
        <v>1677</v>
      </c>
      <c r="B2275" t="str">
        <f>"15131911      "</f>
        <v xml:space="preserve">15131911      </v>
      </c>
      <c r="C2275" t="s">
        <v>7334</v>
      </c>
      <c r="D2275" t="s">
        <v>7334</v>
      </c>
      <c r="E2275" t="s">
        <v>7370</v>
      </c>
      <c r="F2275" t="s">
        <v>7371</v>
      </c>
    </row>
    <row r="2276" spans="1:6" x14ac:dyDescent="0.25">
      <c r="A2276" t="s">
        <v>1677</v>
      </c>
      <c r="B2276" t="str">
        <f>"15131919      "</f>
        <v xml:space="preserve">15131919      </v>
      </c>
      <c r="C2276" t="s">
        <v>7337</v>
      </c>
      <c r="D2276" t="s">
        <v>7337</v>
      </c>
      <c r="E2276" t="s">
        <v>7372</v>
      </c>
      <c r="F2276" t="s">
        <v>7373</v>
      </c>
    </row>
    <row r="2277" spans="1:6" x14ac:dyDescent="0.25">
      <c r="A2277" t="s">
        <v>1677</v>
      </c>
      <c r="B2277" t="str">
        <f>"15131930      "</f>
        <v xml:space="preserve">15131930      </v>
      </c>
      <c r="C2277" t="s">
        <v>7311</v>
      </c>
      <c r="D2277" t="s">
        <v>7311</v>
      </c>
      <c r="E2277" t="s">
        <v>7374</v>
      </c>
      <c r="F2277" t="s">
        <v>7375</v>
      </c>
    </row>
    <row r="2278" spans="1:6" x14ac:dyDescent="0.25">
      <c r="A2278" t="s">
        <v>1677</v>
      </c>
      <c r="B2278" t="str">
        <f>"15131991      "</f>
        <v xml:space="preserve">15131991      </v>
      </c>
      <c r="C2278" t="s">
        <v>7334</v>
      </c>
      <c r="D2278" t="s">
        <v>7334</v>
      </c>
      <c r="E2278" t="s">
        <v>7376</v>
      </c>
      <c r="F2278" t="s">
        <v>7377</v>
      </c>
    </row>
    <row r="2279" spans="1:6" x14ac:dyDescent="0.25">
      <c r="A2279" t="s">
        <v>1677</v>
      </c>
      <c r="B2279" t="str">
        <f>"15131999      "</f>
        <v xml:space="preserve">15131999      </v>
      </c>
      <c r="C2279" t="s">
        <v>7337</v>
      </c>
      <c r="D2279" t="s">
        <v>7337</v>
      </c>
      <c r="E2279" t="s">
        <v>7378</v>
      </c>
      <c r="F2279" t="s">
        <v>7379</v>
      </c>
    </row>
    <row r="2280" spans="1:6" x14ac:dyDescent="0.25">
      <c r="A2280" t="s">
        <v>1677</v>
      </c>
      <c r="B2280" t="str">
        <f>"15132110      "</f>
        <v xml:space="preserve">15132110      </v>
      </c>
      <c r="C2280" t="s">
        <v>7311</v>
      </c>
      <c r="D2280" t="s">
        <v>7311</v>
      </c>
      <c r="E2280" t="s">
        <v>7380</v>
      </c>
      <c r="F2280" t="s">
        <v>7381</v>
      </c>
    </row>
    <row r="2281" spans="1:6" x14ac:dyDescent="0.25">
      <c r="A2281" t="s">
        <v>1677</v>
      </c>
      <c r="B2281" t="str">
        <f>"15132130      "</f>
        <v xml:space="preserve">15132130      </v>
      </c>
      <c r="C2281" t="s">
        <v>7334</v>
      </c>
      <c r="D2281" t="s">
        <v>7334</v>
      </c>
      <c r="E2281" t="s">
        <v>7382</v>
      </c>
      <c r="F2281" t="s">
        <v>7383</v>
      </c>
    </row>
    <row r="2282" spans="1:6" x14ac:dyDescent="0.25">
      <c r="A2282" t="s">
        <v>1677</v>
      </c>
      <c r="B2282" t="str">
        <f>"15132190      "</f>
        <v xml:space="preserve">15132190      </v>
      </c>
      <c r="C2282" t="s">
        <v>7337</v>
      </c>
      <c r="D2282" t="s">
        <v>7337</v>
      </c>
      <c r="E2282" t="s">
        <v>7384</v>
      </c>
      <c r="F2282" t="s">
        <v>7385</v>
      </c>
    </row>
    <row r="2283" spans="1:6" x14ac:dyDescent="0.25">
      <c r="A2283" t="s">
        <v>1677</v>
      </c>
      <c r="B2283" t="str">
        <f>"15132911      "</f>
        <v xml:space="preserve">15132911      </v>
      </c>
      <c r="C2283" t="s">
        <v>7334</v>
      </c>
      <c r="D2283" t="s">
        <v>7334</v>
      </c>
      <c r="E2283" t="s">
        <v>7386</v>
      </c>
      <c r="F2283" t="s">
        <v>7387</v>
      </c>
    </row>
    <row r="2284" spans="1:6" x14ac:dyDescent="0.25">
      <c r="A2284" t="s">
        <v>1677</v>
      </c>
      <c r="B2284" t="str">
        <f>"15132919      "</f>
        <v xml:space="preserve">15132919      </v>
      </c>
      <c r="C2284" t="s">
        <v>7337</v>
      </c>
      <c r="D2284" t="s">
        <v>7337</v>
      </c>
      <c r="E2284" t="s">
        <v>7388</v>
      </c>
      <c r="F2284" t="s">
        <v>7389</v>
      </c>
    </row>
    <row r="2285" spans="1:6" x14ac:dyDescent="0.25">
      <c r="A2285" t="s">
        <v>1677</v>
      </c>
      <c r="B2285" t="str">
        <f>"15132930      "</f>
        <v xml:space="preserve">15132930      </v>
      </c>
      <c r="C2285" t="s">
        <v>7311</v>
      </c>
      <c r="D2285" t="s">
        <v>7311</v>
      </c>
      <c r="E2285" t="s">
        <v>7390</v>
      </c>
      <c r="F2285" t="s">
        <v>7391</v>
      </c>
    </row>
    <row r="2286" spans="1:6" x14ac:dyDescent="0.25">
      <c r="A2286" t="s">
        <v>1677</v>
      </c>
      <c r="B2286" t="str">
        <f>"15132950      "</f>
        <v xml:space="preserve">15132950      </v>
      </c>
      <c r="C2286" t="s">
        <v>7334</v>
      </c>
      <c r="D2286" t="s">
        <v>7334</v>
      </c>
      <c r="E2286" t="s">
        <v>7392</v>
      </c>
      <c r="F2286" t="s">
        <v>7393</v>
      </c>
    </row>
    <row r="2287" spans="1:6" x14ac:dyDescent="0.25">
      <c r="A2287" t="s">
        <v>1677</v>
      </c>
      <c r="B2287" t="str">
        <f>"15132990      "</f>
        <v xml:space="preserve">15132990      </v>
      </c>
      <c r="C2287" t="s">
        <v>7337</v>
      </c>
      <c r="D2287" t="s">
        <v>7337</v>
      </c>
      <c r="E2287" t="s">
        <v>7394</v>
      </c>
      <c r="F2287" t="s">
        <v>7395</v>
      </c>
    </row>
    <row r="2288" spans="1:6" x14ac:dyDescent="0.25">
      <c r="A2288" t="s">
        <v>1677</v>
      </c>
      <c r="B2288" t="str">
        <f>"15141110      "</f>
        <v xml:space="preserve">15141110      </v>
      </c>
      <c r="C2288" t="s">
        <v>7311</v>
      </c>
      <c r="D2288" t="s">
        <v>7311</v>
      </c>
      <c r="E2288" t="s">
        <v>7396</v>
      </c>
      <c r="F2288" t="s">
        <v>7397</v>
      </c>
    </row>
    <row r="2289" spans="1:6" x14ac:dyDescent="0.25">
      <c r="A2289" t="s">
        <v>1677</v>
      </c>
      <c r="B2289" t="str">
        <f>"15141190      "</f>
        <v xml:space="preserve">15141190      </v>
      </c>
      <c r="C2289" t="s">
        <v>6775</v>
      </c>
      <c r="D2289" t="s">
        <v>6775</v>
      </c>
      <c r="E2289" t="s">
        <v>7398</v>
      </c>
      <c r="F2289" t="s">
        <v>7399</v>
      </c>
    </row>
    <row r="2290" spans="1:6" x14ac:dyDescent="0.25">
      <c r="A2290" t="s">
        <v>1677</v>
      </c>
      <c r="B2290" t="str">
        <f>"15141910      "</f>
        <v xml:space="preserve">15141910      </v>
      </c>
      <c r="C2290" t="s">
        <v>7311</v>
      </c>
      <c r="D2290" t="s">
        <v>7311</v>
      </c>
      <c r="E2290" t="s">
        <v>7400</v>
      </c>
      <c r="F2290" t="s">
        <v>7401</v>
      </c>
    </row>
    <row r="2291" spans="1:6" x14ac:dyDescent="0.25">
      <c r="A2291" t="s">
        <v>1677</v>
      </c>
      <c r="B2291" t="str">
        <f>"15141990      "</f>
        <v xml:space="preserve">15141990      </v>
      </c>
      <c r="C2291" t="s">
        <v>6775</v>
      </c>
      <c r="D2291" t="s">
        <v>6775</v>
      </c>
      <c r="E2291" t="s">
        <v>7402</v>
      </c>
      <c r="F2291" t="s">
        <v>7403</v>
      </c>
    </row>
    <row r="2292" spans="1:6" x14ac:dyDescent="0.25">
      <c r="A2292" t="s">
        <v>1677</v>
      </c>
      <c r="B2292" t="str">
        <f>"15149110      "</f>
        <v xml:space="preserve">15149110      </v>
      </c>
      <c r="C2292" t="s">
        <v>7311</v>
      </c>
      <c r="D2292" t="s">
        <v>7311</v>
      </c>
      <c r="E2292" t="s">
        <v>7404</v>
      </c>
      <c r="F2292" t="s">
        <v>7405</v>
      </c>
    </row>
    <row r="2293" spans="1:6" x14ac:dyDescent="0.25">
      <c r="A2293" t="s">
        <v>1677</v>
      </c>
      <c r="B2293" t="str">
        <f>"15149190      "</f>
        <v xml:space="preserve">15149190      </v>
      </c>
      <c r="C2293" t="s">
        <v>6775</v>
      </c>
      <c r="D2293" t="s">
        <v>6775</v>
      </c>
      <c r="E2293" t="s">
        <v>7406</v>
      </c>
      <c r="F2293" t="s">
        <v>7407</v>
      </c>
    </row>
    <row r="2294" spans="1:6" x14ac:dyDescent="0.25">
      <c r="A2294" t="s">
        <v>1677</v>
      </c>
      <c r="B2294" t="str">
        <f>"15149910      "</f>
        <v xml:space="preserve">15149910      </v>
      </c>
      <c r="C2294" t="s">
        <v>7311</v>
      </c>
      <c r="D2294" t="s">
        <v>7311</v>
      </c>
      <c r="E2294" t="s">
        <v>7408</v>
      </c>
      <c r="F2294" t="s">
        <v>7409</v>
      </c>
    </row>
    <row r="2295" spans="1:6" x14ac:dyDescent="0.25">
      <c r="A2295" t="s">
        <v>1677</v>
      </c>
      <c r="B2295" t="str">
        <f>"15149990      "</f>
        <v xml:space="preserve">15149990      </v>
      </c>
      <c r="C2295" t="s">
        <v>6775</v>
      </c>
      <c r="D2295" t="s">
        <v>6775</v>
      </c>
      <c r="E2295" t="s">
        <v>7410</v>
      </c>
      <c r="F2295" t="s">
        <v>7411</v>
      </c>
    </row>
    <row r="2296" spans="1:6" x14ac:dyDescent="0.25">
      <c r="A2296" t="s">
        <v>1677</v>
      </c>
      <c r="B2296" t="str">
        <f>"15151100      "</f>
        <v xml:space="preserve">15151100      </v>
      </c>
      <c r="C2296" t="s">
        <v>7412</v>
      </c>
      <c r="D2296" t="s">
        <v>7412</v>
      </c>
      <c r="E2296" t="s">
        <v>7413</v>
      </c>
      <c r="F2296" t="s">
        <v>7414</v>
      </c>
    </row>
    <row r="2297" spans="1:6" x14ac:dyDescent="0.25">
      <c r="A2297" t="s">
        <v>1677</v>
      </c>
      <c r="B2297" t="str">
        <f>"15151910      "</f>
        <v xml:space="preserve">15151910      </v>
      </c>
      <c r="C2297" t="s">
        <v>7311</v>
      </c>
      <c r="D2297" t="s">
        <v>7311</v>
      </c>
      <c r="E2297" t="s">
        <v>7415</v>
      </c>
      <c r="F2297" t="s">
        <v>7416</v>
      </c>
    </row>
    <row r="2298" spans="1:6" x14ac:dyDescent="0.25">
      <c r="A2298" t="s">
        <v>1677</v>
      </c>
      <c r="B2298" t="str">
        <f>"15151990      "</f>
        <v xml:space="preserve">15151990      </v>
      </c>
      <c r="C2298" t="s">
        <v>6775</v>
      </c>
      <c r="D2298" t="s">
        <v>6775</v>
      </c>
      <c r="E2298" t="s">
        <v>7417</v>
      </c>
      <c r="F2298" t="s">
        <v>7418</v>
      </c>
    </row>
    <row r="2299" spans="1:6" x14ac:dyDescent="0.25">
      <c r="A2299" t="s">
        <v>1677</v>
      </c>
      <c r="B2299" t="str">
        <f>"15152110      "</f>
        <v xml:space="preserve">15152110      </v>
      </c>
      <c r="C2299" t="s">
        <v>7311</v>
      </c>
      <c r="D2299" t="s">
        <v>7311</v>
      </c>
      <c r="E2299" t="s">
        <v>7419</v>
      </c>
      <c r="F2299" t="s">
        <v>7420</v>
      </c>
    </row>
    <row r="2300" spans="1:6" x14ac:dyDescent="0.25">
      <c r="A2300" t="s">
        <v>1677</v>
      </c>
      <c r="B2300" t="str">
        <f>"15152190      "</f>
        <v xml:space="preserve">15152190      </v>
      </c>
      <c r="C2300" t="s">
        <v>7234</v>
      </c>
      <c r="D2300" t="s">
        <v>7234</v>
      </c>
      <c r="E2300" t="s">
        <v>7421</v>
      </c>
      <c r="F2300" t="s">
        <v>7422</v>
      </c>
    </row>
    <row r="2301" spans="1:6" x14ac:dyDescent="0.25">
      <c r="A2301" t="s">
        <v>1677</v>
      </c>
      <c r="B2301" t="str">
        <f>"15152910      "</f>
        <v xml:space="preserve">15152910      </v>
      </c>
      <c r="C2301" t="s">
        <v>7311</v>
      </c>
      <c r="D2301" t="s">
        <v>7311</v>
      </c>
      <c r="E2301" t="s">
        <v>7423</v>
      </c>
      <c r="F2301" t="s">
        <v>7424</v>
      </c>
    </row>
    <row r="2302" spans="1:6" x14ac:dyDescent="0.25">
      <c r="A2302" t="s">
        <v>1677</v>
      </c>
      <c r="B2302" t="str">
        <f>"15152990      "</f>
        <v xml:space="preserve">15152990      </v>
      </c>
      <c r="C2302" t="s">
        <v>6775</v>
      </c>
      <c r="D2302" t="s">
        <v>6775</v>
      </c>
      <c r="E2302" t="s">
        <v>7425</v>
      </c>
      <c r="F2302" t="s">
        <v>7426</v>
      </c>
    </row>
    <row r="2303" spans="1:6" x14ac:dyDescent="0.25">
      <c r="A2303" t="s">
        <v>1677</v>
      </c>
      <c r="B2303" t="str">
        <f>"15153010      "</f>
        <v xml:space="preserve">15153010      </v>
      </c>
      <c r="C2303" t="s">
        <v>7427</v>
      </c>
      <c r="D2303" t="s">
        <v>7427</v>
      </c>
      <c r="E2303" t="s">
        <v>7428</v>
      </c>
      <c r="F2303" t="s">
        <v>7429</v>
      </c>
    </row>
    <row r="2304" spans="1:6" x14ac:dyDescent="0.25">
      <c r="A2304" t="s">
        <v>1677</v>
      </c>
      <c r="B2304" t="str">
        <f>"15153090      "</f>
        <v xml:space="preserve">15153090      </v>
      </c>
      <c r="C2304" t="s">
        <v>6775</v>
      </c>
      <c r="D2304" t="s">
        <v>6775</v>
      </c>
      <c r="E2304" t="s">
        <v>7430</v>
      </c>
      <c r="F2304" t="s">
        <v>7431</v>
      </c>
    </row>
    <row r="2305" spans="1:6" x14ac:dyDescent="0.25">
      <c r="A2305" t="s">
        <v>1677</v>
      </c>
      <c r="B2305" t="str">
        <f>"15155011      "</f>
        <v xml:space="preserve">15155011      </v>
      </c>
      <c r="C2305" t="s">
        <v>7311</v>
      </c>
      <c r="D2305" t="s">
        <v>7311</v>
      </c>
      <c r="E2305" t="s">
        <v>7432</v>
      </c>
      <c r="F2305" t="s">
        <v>7433</v>
      </c>
    </row>
    <row r="2306" spans="1:6" x14ac:dyDescent="0.25">
      <c r="A2306" t="s">
        <v>1677</v>
      </c>
      <c r="B2306" t="str">
        <f>"15155019      "</f>
        <v xml:space="preserve">15155019      </v>
      </c>
      <c r="C2306" t="s">
        <v>7234</v>
      </c>
      <c r="D2306" t="s">
        <v>7234</v>
      </c>
      <c r="E2306" t="s">
        <v>7434</v>
      </c>
      <c r="F2306" t="s">
        <v>7435</v>
      </c>
    </row>
    <row r="2307" spans="1:6" x14ac:dyDescent="0.25">
      <c r="A2307" t="s">
        <v>1677</v>
      </c>
      <c r="B2307" t="str">
        <f>"15155091      "</f>
        <v xml:space="preserve">15155091      </v>
      </c>
      <c r="C2307" t="s">
        <v>7311</v>
      </c>
      <c r="D2307" t="s">
        <v>7311</v>
      </c>
      <c r="E2307" t="s">
        <v>7436</v>
      </c>
      <c r="F2307" t="s">
        <v>7437</v>
      </c>
    </row>
    <row r="2308" spans="1:6" x14ac:dyDescent="0.25">
      <c r="A2308" t="s">
        <v>1677</v>
      </c>
      <c r="B2308" t="str">
        <f>"15155099      "</f>
        <v xml:space="preserve">15155099      </v>
      </c>
      <c r="C2308" t="s">
        <v>6775</v>
      </c>
      <c r="D2308" t="s">
        <v>6775</v>
      </c>
      <c r="E2308" t="s">
        <v>7438</v>
      </c>
      <c r="F2308" t="s">
        <v>7439</v>
      </c>
    </row>
    <row r="2309" spans="1:6" x14ac:dyDescent="0.25">
      <c r="A2309" t="s">
        <v>1677</v>
      </c>
      <c r="B2309" t="str">
        <f>"15159011      "</f>
        <v xml:space="preserve">15159011      </v>
      </c>
      <c r="C2309" t="s">
        <v>7440</v>
      </c>
      <c r="D2309" t="s">
        <v>7440</v>
      </c>
      <c r="E2309" t="s">
        <v>7441</v>
      </c>
      <c r="F2309" t="s">
        <v>7442</v>
      </c>
    </row>
    <row r="2310" spans="1:6" x14ac:dyDescent="0.25">
      <c r="A2310" t="s">
        <v>1677</v>
      </c>
      <c r="B2310" t="str">
        <f>"15159021      "</f>
        <v xml:space="preserve">15159021      </v>
      </c>
      <c r="C2310" t="s">
        <v>7311</v>
      </c>
      <c r="D2310" t="s">
        <v>7311</v>
      </c>
      <c r="E2310" t="s">
        <v>7443</v>
      </c>
      <c r="F2310" t="s">
        <v>7444</v>
      </c>
    </row>
    <row r="2311" spans="1:6" x14ac:dyDescent="0.25">
      <c r="A2311" t="s">
        <v>1677</v>
      </c>
      <c r="B2311" t="str">
        <f>"15159029      "</f>
        <v xml:space="preserve">15159029      </v>
      </c>
      <c r="C2311" t="s">
        <v>7234</v>
      </c>
      <c r="D2311" t="s">
        <v>7234</v>
      </c>
      <c r="E2311" t="s">
        <v>7445</v>
      </c>
      <c r="F2311" t="s">
        <v>7446</v>
      </c>
    </row>
    <row r="2312" spans="1:6" x14ac:dyDescent="0.25">
      <c r="A2312" t="s">
        <v>1677</v>
      </c>
      <c r="B2312" t="str">
        <f>"15159031      "</f>
        <v xml:space="preserve">15159031      </v>
      </c>
      <c r="C2312" t="s">
        <v>7311</v>
      </c>
      <c r="D2312" t="s">
        <v>7311</v>
      </c>
      <c r="E2312" t="s">
        <v>7447</v>
      </c>
      <c r="F2312" t="s">
        <v>7448</v>
      </c>
    </row>
    <row r="2313" spans="1:6" x14ac:dyDescent="0.25">
      <c r="A2313" t="s">
        <v>1677</v>
      </c>
      <c r="B2313" t="str">
        <f>"15159039      "</f>
        <v xml:space="preserve">15159039      </v>
      </c>
      <c r="C2313" t="s">
        <v>6775</v>
      </c>
      <c r="D2313" t="s">
        <v>6775</v>
      </c>
      <c r="E2313" t="s">
        <v>7449</v>
      </c>
      <c r="F2313" t="s">
        <v>7450</v>
      </c>
    </row>
    <row r="2314" spans="1:6" x14ac:dyDescent="0.25">
      <c r="A2314" t="s">
        <v>1677</v>
      </c>
      <c r="B2314" t="str">
        <f>"15159040      "</f>
        <v xml:space="preserve">15159040      </v>
      </c>
      <c r="C2314" t="s">
        <v>7311</v>
      </c>
      <c r="D2314" t="s">
        <v>7311</v>
      </c>
      <c r="E2314" t="s">
        <v>7451</v>
      </c>
      <c r="F2314" t="s">
        <v>7452</v>
      </c>
    </row>
    <row r="2315" spans="1:6" x14ac:dyDescent="0.25">
      <c r="A2315" t="s">
        <v>1677</v>
      </c>
      <c r="B2315" t="str">
        <f>"15159051      "</f>
        <v xml:space="preserve">15159051      </v>
      </c>
      <c r="C2315" t="s">
        <v>7453</v>
      </c>
      <c r="D2315" t="s">
        <v>7453</v>
      </c>
      <c r="E2315" t="s">
        <v>7454</v>
      </c>
      <c r="F2315" t="s">
        <v>7455</v>
      </c>
    </row>
    <row r="2316" spans="1:6" x14ac:dyDescent="0.25">
      <c r="A2316" t="s">
        <v>1677</v>
      </c>
      <c r="B2316" t="str">
        <f>"15159059      "</f>
        <v xml:space="preserve">15159059      </v>
      </c>
      <c r="C2316" t="s">
        <v>7456</v>
      </c>
      <c r="D2316" t="s">
        <v>7456</v>
      </c>
      <c r="E2316" t="s">
        <v>7457</v>
      </c>
      <c r="F2316" t="s">
        <v>7458</v>
      </c>
    </row>
    <row r="2317" spans="1:6" x14ac:dyDescent="0.25">
      <c r="A2317" t="s">
        <v>1677</v>
      </c>
      <c r="B2317" t="str">
        <f>"15159060      "</f>
        <v xml:space="preserve">15159060      </v>
      </c>
      <c r="C2317" t="s">
        <v>7311</v>
      </c>
      <c r="D2317" t="s">
        <v>7311</v>
      </c>
      <c r="E2317" t="s">
        <v>7459</v>
      </c>
      <c r="F2317" t="s">
        <v>7460</v>
      </c>
    </row>
    <row r="2318" spans="1:6" x14ac:dyDescent="0.25">
      <c r="A2318" t="s">
        <v>1677</v>
      </c>
      <c r="B2318" t="str">
        <f>"15159091      "</f>
        <v xml:space="preserve">15159091      </v>
      </c>
      <c r="C2318" t="s">
        <v>7453</v>
      </c>
      <c r="D2318" t="s">
        <v>7453</v>
      </c>
      <c r="E2318" t="s">
        <v>7461</v>
      </c>
      <c r="F2318" t="s">
        <v>7462</v>
      </c>
    </row>
    <row r="2319" spans="1:6" x14ac:dyDescent="0.25">
      <c r="A2319" t="s">
        <v>1677</v>
      </c>
      <c r="B2319" t="str">
        <f>"15159099      "</f>
        <v xml:space="preserve">15159099      </v>
      </c>
      <c r="C2319" t="s">
        <v>7456</v>
      </c>
      <c r="D2319" t="s">
        <v>7456</v>
      </c>
      <c r="E2319" t="s">
        <v>7463</v>
      </c>
      <c r="F2319" t="s">
        <v>7464</v>
      </c>
    </row>
    <row r="2320" spans="1:6" x14ac:dyDescent="0.25">
      <c r="A2320" t="s">
        <v>1677</v>
      </c>
      <c r="B2320" t="str">
        <f>"15161010      "</f>
        <v xml:space="preserve">15161010      </v>
      </c>
      <c r="C2320" t="s">
        <v>7334</v>
      </c>
      <c r="D2320" t="s">
        <v>7334</v>
      </c>
      <c r="E2320" t="s">
        <v>7465</v>
      </c>
      <c r="F2320" t="s">
        <v>7466</v>
      </c>
    </row>
    <row r="2321" spans="1:6" x14ac:dyDescent="0.25">
      <c r="A2321" t="s">
        <v>1677</v>
      </c>
      <c r="B2321" t="str">
        <f>"15161090      "</f>
        <v xml:space="preserve">15161090      </v>
      </c>
      <c r="C2321" t="s">
        <v>7337</v>
      </c>
      <c r="D2321" t="s">
        <v>7337</v>
      </c>
      <c r="E2321" t="s">
        <v>7467</v>
      </c>
      <c r="F2321" t="s">
        <v>7468</v>
      </c>
    </row>
    <row r="2322" spans="1:6" x14ac:dyDescent="0.25">
      <c r="A2322" t="s">
        <v>1677</v>
      </c>
      <c r="B2322" t="str">
        <f>"15162010      "</f>
        <v xml:space="preserve">15162010      </v>
      </c>
      <c r="C2322" t="s">
        <v>7469</v>
      </c>
      <c r="D2322" t="s">
        <v>7469</v>
      </c>
      <c r="E2322" t="s">
        <v>7470</v>
      </c>
      <c r="F2322" t="s">
        <v>7471</v>
      </c>
    </row>
    <row r="2323" spans="1:6" x14ac:dyDescent="0.25">
      <c r="A2323" t="s">
        <v>1677</v>
      </c>
      <c r="B2323" t="str">
        <f>"15162091      "</f>
        <v xml:space="preserve">15162091      </v>
      </c>
      <c r="C2323" t="s">
        <v>7334</v>
      </c>
      <c r="D2323" t="s">
        <v>7334</v>
      </c>
      <c r="E2323" t="s">
        <v>7472</v>
      </c>
      <c r="F2323" t="s">
        <v>7473</v>
      </c>
    </row>
    <row r="2324" spans="1:6" x14ac:dyDescent="0.25">
      <c r="A2324" t="s">
        <v>1677</v>
      </c>
      <c r="B2324" t="str">
        <f>"15162095      "</f>
        <v xml:space="preserve">15162095      </v>
      </c>
      <c r="C2324" t="s">
        <v>7474</v>
      </c>
      <c r="D2324" t="s">
        <v>7474</v>
      </c>
      <c r="E2324" t="s">
        <v>7475</v>
      </c>
      <c r="F2324" t="s">
        <v>7476</v>
      </c>
    </row>
    <row r="2325" spans="1:6" x14ac:dyDescent="0.25">
      <c r="A2325" t="s">
        <v>1677</v>
      </c>
      <c r="B2325" t="str">
        <f>"15162096      "</f>
        <v xml:space="preserve">15162096      </v>
      </c>
      <c r="C2325" t="s">
        <v>7477</v>
      </c>
      <c r="D2325" t="s">
        <v>7477</v>
      </c>
      <c r="E2325" t="s">
        <v>7478</v>
      </c>
      <c r="F2325" t="s">
        <v>7479</v>
      </c>
    </row>
    <row r="2326" spans="1:6" x14ac:dyDescent="0.25">
      <c r="A2326" t="s">
        <v>1677</v>
      </c>
      <c r="B2326" t="str">
        <f>"15162098      "</f>
        <v xml:space="preserve">15162098      </v>
      </c>
      <c r="C2326" t="s">
        <v>6775</v>
      </c>
      <c r="D2326" t="s">
        <v>6775</v>
      </c>
      <c r="E2326" t="s">
        <v>7480</v>
      </c>
      <c r="F2326" t="s">
        <v>7481</v>
      </c>
    </row>
    <row r="2327" spans="1:6" x14ac:dyDescent="0.25">
      <c r="A2327" t="s">
        <v>1677</v>
      </c>
      <c r="B2327" t="str">
        <f>"15171010      "</f>
        <v xml:space="preserve">15171010      </v>
      </c>
      <c r="C2327" t="s">
        <v>7482</v>
      </c>
      <c r="D2327" t="s">
        <v>7482</v>
      </c>
      <c r="E2327" t="s">
        <v>7483</v>
      </c>
      <c r="F2327" t="s">
        <v>7484</v>
      </c>
    </row>
    <row r="2328" spans="1:6" x14ac:dyDescent="0.25">
      <c r="A2328" t="s">
        <v>1677</v>
      </c>
      <c r="B2328" t="str">
        <f>"15171090      "</f>
        <v xml:space="preserve">15171090      </v>
      </c>
      <c r="C2328" t="s">
        <v>6775</v>
      </c>
      <c r="D2328" t="s">
        <v>6775</v>
      </c>
      <c r="E2328" t="s">
        <v>7485</v>
      </c>
      <c r="F2328" t="s">
        <v>7486</v>
      </c>
    </row>
    <row r="2329" spans="1:6" x14ac:dyDescent="0.25">
      <c r="A2329" t="s">
        <v>1677</v>
      </c>
      <c r="B2329" t="str">
        <f>"15179010      "</f>
        <v xml:space="preserve">15179010      </v>
      </c>
      <c r="C2329" t="s">
        <v>7482</v>
      </c>
      <c r="D2329" t="s">
        <v>7482</v>
      </c>
      <c r="E2329" t="s">
        <v>7487</v>
      </c>
      <c r="F2329" t="s">
        <v>7488</v>
      </c>
    </row>
    <row r="2330" spans="1:6" x14ac:dyDescent="0.25">
      <c r="A2330" t="s">
        <v>1677</v>
      </c>
      <c r="B2330" t="str">
        <f>"15179091      "</f>
        <v xml:space="preserve">15179091      </v>
      </c>
      <c r="C2330" t="s">
        <v>7489</v>
      </c>
      <c r="D2330" t="s">
        <v>7489</v>
      </c>
      <c r="E2330" t="s">
        <v>7490</v>
      </c>
      <c r="F2330" t="s">
        <v>7491</v>
      </c>
    </row>
    <row r="2331" spans="1:6" x14ac:dyDescent="0.25">
      <c r="A2331" t="s">
        <v>1677</v>
      </c>
      <c r="B2331" t="str">
        <f>"15179093      "</f>
        <v xml:space="preserve">15179093      </v>
      </c>
      <c r="C2331" t="s">
        <v>7492</v>
      </c>
      <c r="D2331" t="s">
        <v>7492</v>
      </c>
      <c r="E2331" t="s">
        <v>7493</v>
      </c>
      <c r="F2331" t="s">
        <v>7494</v>
      </c>
    </row>
    <row r="2332" spans="1:6" x14ac:dyDescent="0.25">
      <c r="A2332" t="s">
        <v>1677</v>
      </c>
      <c r="B2332" t="str">
        <f>"15179099      "</f>
        <v xml:space="preserve">15179099      </v>
      </c>
      <c r="C2332" t="s">
        <v>6775</v>
      </c>
      <c r="D2332" t="s">
        <v>6775</v>
      </c>
      <c r="E2332" t="s">
        <v>7495</v>
      </c>
      <c r="F2332" t="s">
        <v>7496</v>
      </c>
    </row>
    <row r="2333" spans="1:6" x14ac:dyDescent="0.25">
      <c r="A2333" t="s">
        <v>1677</v>
      </c>
      <c r="B2333" t="str">
        <f>"15180010      "</f>
        <v xml:space="preserve">15180010      </v>
      </c>
      <c r="C2333" t="s">
        <v>2445</v>
      </c>
      <c r="D2333" t="s">
        <v>2445</v>
      </c>
      <c r="E2333" t="s">
        <v>7497</v>
      </c>
      <c r="F2333" t="s">
        <v>7498</v>
      </c>
    </row>
    <row r="2334" spans="1:6" x14ac:dyDescent="0.25">
      <c r="A2334" t="s">
        <v>1677</v>
      </c>
      <c r="B2334" t="str">
        <f>"15180031      "</f>
        <v xml:space="preserve">15180031      </v>
      </c>
      <c r="C2334" t="s">
        <v>7499</v>
      </c>
      <c r="D2334" t="s">
        <v>7499</v>
      </c>
      <c r="E2334" t="s">
        <v>7500</v>
      </c>
      <c r="F2334" t="s">
        <v>7501</v>
      </c>
    </row>
    <row r="2335" spans="1:6" x14ac:dyDescent="0.25">
      <c r="A2335" t="s">
        <v>1677</v>
      </c>
      <c r="B2335" t="str">
        <f>"15180039      "</f>
        <v xml:space="preserve">15180039      </v>
      </c>
      <c r="C2335" t="s">
        <v>6775</v>
      </c>
      <c r="D2335" t="s">
        <v>6775</v>
      </c>
      <c r="E2335" t="s">
        <v>7502</v>
      </c>
      <c r="F2335" t="s">
        <v>7503</v>
      </c>
    </row>
    <row r="2336" spans="1:6" x14ac:dyDescent="0.25">
      <c r="A2336" t="s">
        <v>1677</v>
      </c>
      <c r="B2336" t="str">
        <f>"15180091      "</f>
        <v xml:space="preserve">15180091      </v>
      </c>
      <c r="C2336" t="s">
        <v>7504</v>
      </c>
      <c r="D2336" t="s">
        <v>7505</v>
      </c>
      <c r="E2336" t="s">
        <v>7506</v>
      </c>
      <c r="F2336" t="s">
        <v>7507</v>
      </c>
    </row>
    <row r="2337" spans="1:6" x14ac:dyDescent="0.25">
      <c r="A2337" t="s">
        <v>1677</v>
      </c>
      <c r="B2337" t="str">
        <f>"15180095      "</f>
        <v xml:space="preserve">15180095      </v>
      </c>
      <c r="C2337" t="s">
        <v>7508</v>
      </c>
      <c r="D2337" t="s">
        <v>7509</v>
      </c>
      <c r="E2337" t="s">
        <v>7510</v>
      </c>
      <c r="F2337" t="s">
        <v>7511</v>
      </c>
    </row>
    <row r="2338" spans="1:6" x14ac:dyDescent="0.25">
      <c r="A2338" t="s">
        <v>1677</v>
      </c>
      <c r="B2338" t="str">
        <f>"15180099      "</f>
        <v xml:space="preserve">15180099      </v>
      </c>
      <c r="C2338" t="s">
        <v>6775</v>
      </c>
      <c r="D2338" t="s">
        <v>6775</v>
      </c>
      <c r="E2338" t="s">
        <v>7512</v>
      </c>
      <c r="F2338" t="s">
        <v>7513</v>
      </c>
    </row>
    <row r="2339" spans="1:6" x14ac:dyDescent="0.25">
      <c r="A2339" t="s">
        <v>1677</v>
      </c>
      <c r="B2339" t="str">
        <f>"15200000      "</f>
        <v xml:space="preserve">15200000      </v>
      </c>
      <c r="C2339" t="s">
        <v>7514</v>
      </c>
      <c r="D2339" t="s">
        <v>7514</v>
      </c>
      <c r="E2339" t="s">
        <v>7515</v>
      </c>
      <c r="F2339" t="s">
        <v>7516</v>
      </c>
    </row>
    <row r="2340" spans="1:6" x14ac:dyDescent="0.25">
      <c r="A2340" t="s">
        <v>1677</v>
      </c>
      <c r="B2340" t="str">
        <f>"15211000      "</f>
        <v xml:space="preserve">15211000      </v>
      </c>
      <c r="C2340" t="s">
        <v>7517</v>
      </c>
      <c r="D2340" t="s">
        <v>7517</v>
      </c>
      <c r="E2340" t="s">
        <v>7518</v>
      </c>
      <c r="F2340" t="s">
        <v>7519</v>
      </c>
    </row>
    <row r="2341" spans="1:6" x14ac:dyDescent="0.25">
      <c r="A2341" t="s">
        <v>1677</v>
      </c>
      <c r="B2341" t="str">
        <f>"15219010      "</f>
        <v xml:space="preserve">15219010      </v>
      </c>
      <c r="C2341" t="s">
        <v>7520</v>
      </c>
      <c r="D2341" t="s">
        <v>7520</v>
      </c>
      <c r="E2341" t="s">
        <v>7521</v>
      </c>
      <c r="F2341" t="s">
        <v>7522</v>
      </c>
    </row>
    <row r="2342" spans="1:6" x14ac:dyDescent="0.25">
      <c r="A2342" t="s">
        <v>1677</v>
      </c>
      <c r="B2342" t="str">
        <f>"15219091      "</f>
        <v xml:space="preserve">15219091      </v>
      </c>
      <c r="C2342" t="s">
        <v>7499</v>
      </c>
      <c r="D2342" t="s">
        <v>7499</v>
      </c>
      <c r="E2342" t="s">
        <v>7523</v>
      </c>
      <c r="F2342" t="s">
        <v>7524</v>
      </c>
    </row>
    <row r="2343" spans="1:6" x14ac:dyDescent="0.25">
      <c r="A2343" t="s">
        <v>1677</v>
      </c>
      <c r="B2343" t="str">
        <f>"15219099      "</f>
        <v xml:space="preserve">15219099      </v>
      </c>
      <c r="C2343" t="s">
        <v>6775</v>
      </c>
      <c r="D2343" t="s">
        <v>6775</v>
      </c>
      <c r="E2343" t="s">
        <v>7525</v>
      </c>
      <c r="F2343" t="s">
        <v>7526</v>
      </c>
    </row>
    <row r="2344" spans="1:6" x14ac:dyDescent="0.25">
      <c r="A2344" t="s">
        <v>1677</v>
      </c>
      <c r="B2344" t="str">
        <f>"15220010      "</f>
        <v xml:space="preserve">15220010      </v>
      </c>
      <c r="C2344" t="s">
        <v>2477</v>
      </c>
      <c r="D2344" t="s">
        <v>2477</v>
      </c>
      <c r="E2344" t="s">
        <v>7527</v>
      </c>
      <c r="F2344" t="s">
        <v>7528</v>
      </c>
    </row>
    <row r="2345" spans="1:6" x14ac:dyDescent="0.25">
      <c r="A2345" t="s">
        <v>1677</v>
      </c>
      <c r="B2345" t="str">
        <f>"15220031      "</f>
        <v xml:space="preserve">15220031      </v>
      </c>
      <c r="C2345" t="s">
        <v>7529</v>
      </c>
      <c r="D2345" t="s">
        <v>7529</v>
      </c>
      <c r="E2345" t="s">
        <v>7530</v>
      </c>
      <c r="F2345" t="s">
        <v>7531</v>
      </c>
    </row>
    <row r="2346" spans="1:6" x14ac:dyDescent="0.25">
      <c r="A2346" t="s">
        <v>1677</v>
      </c>
      <c r="B2346" t="str">
        <f>"15220039      "</f>
        <v xml:space="preserve">15220039      </v>
      </c>
      <c r="C2346" t="s">
        <v>6775</v>
      </c>
      <c r="D2346" t="s">
        <v>6775</v>
      </c>
      <c r="E2346" t="s">
        <v>7532</v>
      </c>
      <c r="F2346" t="s">
        <v>7533</v>
      </c>
    </row>
    <row r="2347" spans="1:6" x14ac:dyDescent="0.25">
      <c r="A2347" t="s">
        <v>1677</v>
      </c>
      <c r="B2347" t="str">
        <f>"15220091      "</f>
        <v xml:space="preserve">15220091      </v>
      </c>
      <c r="C2347" t="s">
        <v>7534</v>
      </c>
      <c r="D2347" t="s">
        <v>7534</v>
      </c>
      <c r="E2347" t="s">
        <v>7535</v>
      </c>
      <c r="F2347" t="s">
        <v>7536</v>
      </c>
    </row>
    <row r="2348" spans="1:6" x14ac:dyDescent="0.25">
      <c r="A2348" t="s">
        <v>1677</v>
      </c>
      <c r="B2348" t="str">
        <f>"15220099      "</f>
        <v xml:space="preserve">15220099      </v>
      </c>
      <c r="C2348" t="s">
        <v>6775</v>
      </c>
      <c r="D2348" t="s">
        <v>6775</v>
      </c>
      <c r="E2348" t="s">
        <v>7537</v>
      </c>
      <c r="F2348" t="s">
        <v>7538</v>
      </c>
    </row>
    <row r="2349" spans="1:6" x14ac:dyDescent="0.25">
      <c r="A2349" t="s">
        <v>1677</v>
      </c>
      <c r="B2349" t="str">
        <f>"16010010      "</f>
        <v xml:space="preserve">16010010      </v>
      </c>
      <c r="C2349" t="s">
        <v>7539</v>
      </c>
      <c r="D2349" t="s">
        <v>7539</v>
      </c>
      <c r="E2349" t="s">
        <v>7540</v>
      </c>
      <c r="F2349" t="s">
        <v>7541</v>
      </c>
    </row>
    <row r="2350" spans="1:6" x14ac:dyDescent="0.25">
      <c r="A2350" t="s">
        <v>1677</v>
      </c>
      <c r="B2350" t="str">
        <f>"16010091      "</f>
        <v xml:space="preserve">16010091      </v>
      </c>
      <c r="C2350" t="s">
        <v>7542</v>
      </c>
      <c r="D2350" t="s">
        <v>7542</v>
      </c>
      <c r="E2350" t="s">
        <v>7543</v>
      </c>
      <c r="F2350" t="s">
        <v>7544</v>
      </c>
    </row>
    <row r="2351" spans="1:6" x14ac:dyDescent="0.25">
      <c r="A2351" t="s">
        <v>1677</v>
      </c>
      <c r="B2351" t="str">
        <f>"16010099      "</f>
        <v xml:space="preserve">16010099      </v>
      </c>
      <c r="C2351" t="s">
        <v>6775</v>
      </c>
      <c r="D2351" t="s">
        <v>6775</v>
      </c>
      <c r="E2351" t="s">
        <v>7545</v>
      </c>
      <c r="F2351" t="s">
        <v>7546</v>
      </c>
    </row>
    <row r="2352" spans="1:6" x14ac:dyDescent="0.25">
      <c r="A2352" t="s">
        <v>1677</v>
      </c>
      <c r="B2352" t="str">
        <f>"16021000      "</f>
        <v xml:space="preserve">16021000      </v>
      </c>
      <c r="C2352" t="s">
        <v>7547</v>
      </c>
      <c r="D2352" t="s">
        <v>7547</v>
      </c>
      <c r="E2352" t="s">
        <v>7548</v>
      </c>
      <c r="F2352" t="s">
        <v>7549</v>
      </c>
    </row>
    <row r="2353" spans="1:6" x14ac:dyDescent="0.25">
      <c r="A2353" t="s">
        <v>1677</v>
      </c>
      <c r="B2353" t="str">
        <f>"16022010      "</f>
        <v xml:space="preserve">16022010      </v>
      </c>
      <c r="C2353" t="s">
        <v>7550</v>
      </c>
      <c r="D2353" t="s">
        <v>7550</v>
      </c>
      <c r="E2353" t="s">
        <v>7551</v>
      </c>
      <c r="F2353" t="s">
        <v>7552</v>
      </c>
    </row>
    <row r="2354" spans="1:6" x14ac:dyDescent="0.25">
      <c r="A2354" t="s">
        <v>1677</v>
      </c>
      <c r="B2354" t="str">
        <f>"16022090      "</f>
        <v xml:space="preserve">16022090      </v>
      </c>
      <c r="C2354" t="s">
        <v>6775</v>
      </c>
      <c r="D2354" t="s">
        <v>6775</v>
      </c>
      <c r="E2354" t="s">
        <v>7553</v>
      </c>
      <c r="F2354" t="s">
        <v>7554</v>
      </c>
    </row>
    <row r="2355" spans="1:6" x14ac:dyDescent="0.25">
      <c r="A2355" t="s">
        <v>1677</v>
      </c>
      <c r="B2355" t="str">
        <f>"16023111      "</f>
        <v xml:space="preserve">16023111      </v>
      </c>
      <c r="C2355" t="s">
        <v>7555</v>
      </c>
      <c r="D2355" t="s">
        <v>7555</v>
      </c>
      <c r="E2355" t="s">
        <v>7556</v>
      </c>
      <c r="F2355" t="s">
        <v>7557</v>
      </c>
    </row>
    <row r="2356" spans="1:6" x14ac:dyDescent="0.25">
      <c r="A2356" t="s">
        <v>1677</v>
      </c>
      <c r="B2356" t="str">
        <f>"16023119      "</f>
        <v xml:space="preserve">16023119      </v>
      </c>
      <c r="C2356" t="s">
        <v>6775</v>
      </c>
      <c r="D2356" t="s">
        <v>6775</v>
      </c>
      <c r="E2356" t="s">
        <v>7558</v>
      </c>
      <c r="F2356" t="s">
        <v>7559</v>
      </c>
    </row>
    <row r="2357" spans="1:6" x14ac:dyDescent="0.25">
      <c r="A2357" t="s">
        <v>1677</v>
      </c>
      <c r="B2357" t="str">
        <f>"16023180      "</f>
        <v xml:space="preserve">16023180      </v>
      </c>
      <c r="C2357" t="s">
        <v>6775</v>
      </c>
      <c r="D2357" t="s">
        <v>6775</v>
      </c>
      <c r="E2357" t="s">
        <v>7560</v>
      </c>
      <c r="F2357" t="s">
        <v>7561</v>
      </c>
    </row>
    <row r="2358" spans="1:6" x14ac:dyDescent="0.25">
      <c r="A2358" t="s">
        <v>1677</v>
      </c>
      <c r="B2358" t="str">
        <f>"16023211      "</f>
        <v xml:space="preserve">16023211      </v>
      </c>
      <c r="C2358" t="s">
        <v>7562</v>
      </c>
      <c r="D2358" t="s">
        <v>7562</v>
      </c>
      <c r="E2358" t="s">
        <v>7563</v>
      </c>
      <c r="F2358" t="s">
        <v>7564</v>
      </c>
    </row>
    <row r="2359" spans="1:6" x14ac:dyDescent="0.25">
      <c r="A2359" t="s">
        <v>1677</v>
      </c>
      <c r="B2359" t="str">
        <f>"16023219      "</f>
        <v xml:space="preserve">16023219      </v>
      </c>
      <c r="C2359" t="s">
        <v>6775</v>
      </c>
      <c r="D2359" t="s">
        <v>6775</v>
      </c>
      <c r="E2359" t="s">
        <v>7565</v>
      </c>
      <c r="F2359" t="s">
        <v>7566</v>
      </c>
    </row>
    <row r="2360" spans="1:6" x14ac:dyDescent="0.25">
      <c r="A2360" t="s">
        <v>1677</v>
      </c>
      <c r="B2360" t="str">
        <f>"16023230      "</f>
        <v xml:space="preserve">16023230      </v>
      </c>
      <c r="C2360" t="s">
        <v>7567</v>
      </c>
      <c r="D2360" t="s">
        <v>7567</v>
      </c>
      <c r="E2360" t="s">
        <v>7568</v>
      </c>
      <c r="F2360" t="s">
        <v>7569</v>
      </c>
    </row>
    <row r="2361" spans="1:6" x14ac:dyDescent="0.25">
      <c r="A2361" t="s">
        <v>1677</v>
      </c>
      <c r="B2361" t="str">
        <f>"16023290      "</f>
        <v xml:space="preserve">16023290      </v>
      </c>
      <c r="C2361" t="s">
        <v>6775</v>
      </c>
      <c r="D2361" t="s">
        <v>6775</v>
      </c>
      <c r="E2361" t="s">
        <v>7570</v>
      </c>
      <c r="F2361" t="s">
        <v>7571</v>
      </c>
    </row>
    <row r="2362" spans="1:6" x14ac:dyDescent="0.25">
      <c r="A2362" t="s">
        <v>1677</v>
      </c>
      <c r="B2362" t="str">
        <f>"16023921      "</f>
        <v xml:space="preserve">16023921      </v>
      </c>
      <c r="C2362" t="s">
        <v>7562</v>
      </c>
      <c r="D2362" t="s">
        <v>7562</v>
      </c>
      <c r="E2362" t="s">
        <v>7572</v>
      </c>
      <c r="F2362" t="s">
        <v>7573</v>
      </c>
    </row>
    <row r="2363" spans="1:6" x14ac:dyDescent="0.25">
      <c r="A2363" t="s">
        <v>1677</v>
      </c>
      <c r="B2363" t="str">
        <f>"16023929      "</f>
        <v xml:space="preserve">16023929      </v>
      </c>
      <c r="C2363" t="s">
        <v>6775</v>
      </c>
      <c r="D2363" t="s">
        <v>6775</v>
      </c>
      <c r="E2363" t="s">
        <v>7574</v>
      </c>
      <c r="F2363" t="s">
        <v>7575</v>
      </c>
    </row>
    <row r="2364" spans="1:6" x14ac:dyDescent="0.25">
      <c r="A2364" t="s">
        <v>1677</v>
      </c>
      <c r="B2364" t="str">
        <f>"16023985      "</f>
        <v xml:space="preserve">16023985      </v>
      </c>
      <c r="C2364" t="s">
        <v>6775</v>
      </c>
      <c r="D2364" t="s">
        <v>6775</v>
      </c>
      <c r="E2364" t="s">
        <v>7576</v>
      </c>
      <c r="F2364" t="s">
        <v>7577</v>
      </c>
    </row>
    <row r="2365" spans="1:6" x14ac:dyDescent="0.25">
      <c r="A2365" t="s">
        <v>1677</v>
      </c>
      <c r="B2365" t="str">
        <f>"16024110      "</f>
        <v xml:space="preserve">16024110      </v>
      </c>
      <c r="C2365" t="s">
        <v>7578</v>
      </c>
      <c r="D2365" t="s">
        <v>7578</v>
      </c>
      <c r="E2365" t="s">
        <v>7579</v>
      </c>
      <c r="F2365" t="s">
        <v>7580</v>
      </c>
    </row>
    <row r="2366" spans="1:6" x14ac:dyDescent="0.25">
      <c r="A2366" t="s">
        <v>1677</v>
      </c>
      <c r="B2366" t="str">
        <f>"16024190      "</f>
        <v xml:space="preserve">16024190      </v>
      </c>
      <c r="C2366" t="s">
        <v>6775</v>
      </c>
      <c r="D2366" t="s">
        <v>6775</v>
      </c>
      <c r="E2366" t="s">
        <v>7581</v>
      </c>
      <c r="F2366" t="s">
        <v>7582</v>
      </c>
    </row>
    <row r="2367" spans="1:6" x14ac:dyDescent="0.25">
      <c r="A2367" t="s">
        <v>1677</v>
      </c>
      <c r="B2367" t="str">
        <f>"16024210      "</f>
        <v xml:space="preserve">16024210      </v>
      </c>
      <c r="C2367" t="s">
        <v>7578</v>
      </c>
      <c r="D2367" t="s">
        <v>7578</v>
      </c>
      <c r="E2367" t="s">
        <v>7583</v>
      </c>
      <c r="F2367" t="s">
        <v>7584</v>
      </c>
    </row>
    <row r="2368" spans="1:6" x14ac:dyDescent="0.25">
      <c r="A2368" t="s">
        <v>1677</v>
      </c>
      <c r="B2368" t="str">
        <f>"16024290      "</f>
        <v xml:space="preserve">16024290      </v>
      </c>
      <c r="C2368" t="s">
        <v>6775</v>
      </c>
      <c r="D2368" t="s">
        <v>6775</v>
      </c>
      <c r="E2368" t="s">
        <v>7585</v>
      </c>
      <c r="F2368" t="s">
        <v>7586</v>
      </c>
    </row>
    <row r="2369" spans="1:6" x14ac:dyDescent="0.25">
      <c r="A2369" t="s">
        <v>1677</v>
      </c>
      <c r="B2369" t="str">
        <f>"16024911      "</f>
        <v xml:space="preserve">16024911      </v>
      </c>
      <c r="C2369" t="s">
        <v>7587</v>
      </c>
      <c r="D2369" t="s">
        <v>7587</v>
      </c>
      <c r="E2369" t="s">
        <v>7588</v>
      </c>
      <c r="F2369" t="s">
        <v>7589</v>
      </c>
    </row>
    <row r="2370" spans="1:6" x14ac:dyDescent="0.25">
      <c r="A2370" t="s">
        <v>1677</v>
      </c>
      <c r="B2370" t="str">
        <f>"16024913      "</f>
        <v xml:space="preserve">16024913      </v>
      </c>
      <c r="C2370" t="s">
        <v>7590</v>
      </c>
      <c r="D2370" t="s">
        <v>7590</v>
      </c>
      <c r="E2370" t="s">
        <v>7591</v>
      </c>
      <c r="F2370" t="s">
        <v>7592</v>
      </c>
    </row>
    <row r="2371" spans="1:6" x14ac:dyDescent="0.25">
      <c r="A2371" t="s">
        <v>1677</v>
      </c>
      <c r="B2371" t="str">
        <f>"16024915      "</f>
        <v xml:space="preserve">16024915      </v>
      </c>
      <c r="C2371" t="s">
        <v>7593</v>
      </c>
      <c r="D2371" t="s">
        <v>7593</v>
      </c>
      <c r="E2371" t="s">
        <v>7594</v>
      </c>
      <c r="F2371" t="s">
        <v>7595</v>
      </c>
    </row>
    <row r="2372" spans="1:6" x14ac:dyDescent="0.25">
      <c r="A2372" t="s">
        <v>1677</v>
      </c>
      <c r="B2372" t="str">
        <f>"16024919      "</f>
        <v xml:space="preserve">16024919      </v>
      </c>
      <c r="C2372" t="s">
        <v>6775</v>
      </c>
      <c r="D2372" t="s">
        <v>6775</v>
      </c>
      <c r="E2372" t="s">
        <v>7596</v>
      </c>
      <c r="F2372" t="s">
        <v>7597</v>
      </c>
    </row>
    <row r="2373" spans="1:6" x14ac:dyDescent="0.25">
      <c r="A2373" t="s">
        <v>1677</v>
      </c>
      <c r="B2373" t="str">
        <f>"16024930      "</f>
        <v xml:space="preserve">16024930      </v>
      </c>
      <c r="C2373" t="s">
        <v>7598</v>
      </c>
      <c r="D2373" t="s">
        <v>7598</v>
      </c>
      <c r="E2373" t="s">
        <v>7599</v>
      </c>
      <c r="F2373" t="s">
        <v>7600</v>
      </c>
    </row>
    <row r="2374" spans="1:6" x14ac:dyDescent="0.25">
      <c r="A2374" t="s">
        <v>1677</v>
      </c>
      <c r="B2374" t="str">
        <f>"16024950      "</f>
        <v xml:space="preserve">16024950      </v>
      </c>
      <c r="C2374" t="s">
        <v>7601</v>
      </c>
      <c r="D2374" t="s">
        <v>7601</v>
      </c>
      <c r="E2374" t="s">
        <v>7602</v>
      </c>
      <c r="F2374" t="s">
        <v>7603</v>
      </c>
    </row>
    <row r="2375" spans="1:6" x14ac:dyDescent="0.25">
      <c r="A2375" t="s">
        <v>1677</v>
      </c>
      <c r="B2375" t="str">
        <f>"16024990      "</f>
        <v xml:space="preserve">16024990      </v>
      </c>
      <c r="C2375" t="s">
        <v>6775</v>
      </c>
      <c r="D2375" t="s">
        <v>6775</v>
      </c>
      <c r="E2375" t="s">
        <v>7604</v>
      </c>
      <c r="F2375" t="s">
        <v>7605</v>
      </c>
    </row>
    <row r="2376" spans="1:6" x14ac:dyDescent="0.25">
      <c r="A2376" t="s">
        <v>1677</v>
      </c>
      <c r="B2376" t="str">
        <f>"16025010      "</f>
        <v xml:space="preserve">16025010      </v>
      </c>
      <c r="C2376" t="s">
        <v>7606</v>
      </c>
      <c r="D2376" t="s">
        <v>7606</v>
      </c>
      <c r="E2376" t="s">
        <v>7607</v>
      </c>
      <c r="F2376" t="s">
        <v>7608</v>
      </c>
    </row>
    <row r="2377" spans="1:6" x14ac:dyDescent="0.25">
      <c r="A2377" t="s">
        <v>1677</v>
      </c>
      <c r="B2377" t="str">
        <f>"16025031      "</f>
        <v xml:space="preserve">16025031      </v>
      </c>
      <c r="C2377" t="s">
        <v>7609</v>
      </c>
      <c r="D2377" t="s">
        <v>7609</v>
      </c>
      <c r="E2377" t="s">
        <v>7610</v>
      </c>
      <c r="F2377" t="s">
        <v>7611</v>
      </c>
    </row>
    <row r="2378" spans="1:6" x14ac:dyDescent="0.25">
      <c r="A2378" t="s">
        <v>1677</v>
      </c>
      <c r="B2378" t="str">
        <f>"16025095      "</f>
        <v xml:space="preserve">16025095      </v>
      </c>
      <c r="C2378" t="s">
        <v>6775</v>
      </c>
      <c r="D2378" t="s">
        <v>6775</v>
      </c>
      <c r="E2378" t="s">
        <v>7612</v>
      </c>
      <c r="F2378" t="s">
        <v>7613</v>
      </c>
    </row>
    <row r="2379" spans="1:6" x14ac:dyDescent="0.25">
      <c r="A2379" t="s">
        <v>1677</v>
      </c>
      <c r="B2379" t="str">
        <f>"16029010      "</f>
        <v xml:space="preserve">16029010      </v>
      </c>
      <c r="C2379" t="s">
        <v>7614</v>
      </c>
      <c r="D2379" t="s">
        <v>7614</v>
      </c>
      <c r="E2379" t="s">
        <v>7615</v>
      </c>
      <c r="F2379" t="s">
        <v>7616</v>
      </c>
    </row>
    <row r="2380" spans="1:6" x14ac:dyDescent="0.25">
      <c r="A2380" t="s">
        <v>1677</v>
      </c>
      <c r="B2380" t="str">
        <f>"16029031      "</f>
        <v xml:space="preserve">16029031      </v>
      </c>
      <c r="C2380" t="s">
        <v>7617</v>
      </c>
      <c r="D2380" t="s">
        <v>7617</v>
      </c>
      <c r="E2380" t="s">
        <v>7618</v>
      </c>
      <c r="F2380" t="s">
        <v>7619</v>
      </c>
    </row>
    <row r="2381" spans="1:6" x14ac:dyDescent="0.25">
      <c r="A2381" t="s">
        <v>1677</v>
      </c>
      <c r="B2381" t="str">
        <f>"16029051      "</f>
        <v xml:space="preserve">16029051      </v>
      </c>
      <c r="C2381" t="s">
        <v>7620</v>
      </c>
      <c r="D2381" t="s">
        <v>7620</v>
      </c>
      <c r="E2381" t="s">
        <v>7621</v>
      </c>
      <c r="F2381" t="s">
        <v>7622</v>
      </c>
    </row>
    <row r="2382" spans="1:6" x14ac:dyDescent="0.25">
      <c r="A2382" t="s">
        <v>1677</v>
      </c>
      <c r="B2382" t="str">
        <f>"16029061      "</f>
        <v xml:space="preserve">16029061      </v>
      </c>
      <c r="C2382" t="s">
        <v>7606</v>
      </c>
      <c r="D2382" t="s">
        <v>7606</v>
      </c>
      <c r="E2382" t="s">
        <v>7623</v>
      </c>
      <c r="F2382" t="s">
        <v>7624</v>
      </c>
    </row>
    <row r="2383" spans="1:6" x14ac:dyDescent="0.25">
      <c r="A2383" t="s">
        <v>1677</v>
      </c>
      <c r="B2383" t="str">
        <f>"16029069      "</f>
        <v xml:space="preserve">16029069      </v>
      </c>
      <c r="C2383" t="s">
        <v>6775</v>
      </c>
      <c r="D2383" t="s">
        <v>6775</v>
      </c>
      <c r="E2383" t="s">
        <v>7625</v>
      </c>
      <c r="F2383" t="s">
        <v>7626</v>
      </c>
    </row>
    <row r="2384" spans="1:6" x14ac:dyDescent="0.25">
      <c r="A2384" t="s">
        <v>1677</v>
      </c>
      <c r="B2384" t="str">
        <f>"16029091      "</f>
        <v xml:space="preserve">16029091      </v>
      </c>
      <c r="C2384" t="s">
        <v>7627</v>
      </c>
      <c r="D2384" t="s">
        <v>7627</v>
      </c>
      <c r="E2384" t="s">
        <v>7628</v>
      </c>
      <c r="F2384" t="s">
        <v>7629</v>
      </c>
    </row>
    <row r="2385" spans="1:6" x14ac:dyDescent="0.25">
      <c r="A2385" t="s">
        <v>1677</v>
      </c>
      <c r="B2385" t="str">
        <f>"16029095      "</f>
        <v xml:space="preserve">16029095      </v>
      </c>
      <c r="C2385" t="s">
        <v>7630</v>
      </c>
      <c r="D2385" t="s">
        <v>7630</v>
      </c>
      <c r="E2385" t="s">
        <v>7631</v>
      </c>
      <c r="F2385" t="s">
        <v>7632</v>
      </c>
    </row>
    <row r="2386" spans="1:6" x14ac:dyDescent="0.25">
      <c r="A2386" t="s">
        <v>1677</v>
      </c>
      <c r="B2386" t="str">
        <f>"16029099      "</f>
        <v xml:space="preserve">16029099      </v>
      </c>
      <c r="C2386" t="s">
        <v>6775</v>
      </c>
      <c r="D2386" t="s">
        <v>6775</v>
      </c>
      <c r="E2386" t="s">
        <v>7633</v>
      </c>
      <c r="F2386" t="s">
        <v>7634</v>
      </c>
    </row>
    <row r="2387" spans="1:6" x14ac:dyDescent="0.25">
      <c r="A2387" t="s">
        <v>1677</v>
      </c>
      <c r="B2387" t="str">
        <f>"16030010      "</f>
        <v xml:space="preserve">16030010      </v>
      </c>
      <c r="C2387" t="s">
        <v>7334</v>
      </c>
      <c r="D2387" t="s">
        <v>7334</v>
      </c>
      <c r="E2387" t="s">
        <v>7635</v>
      </c>
      <c r="F2387" t="s">
        <v>7636</v>
      </c>
    </row>
    <row r="2388" spans="1:6" x14ac:dyDescent="0.25">
      <c r="A2388" t="s">
        <v>1677</v>
      </c>
      <c r="B2388" t="str">
        <f>"16030080      "</f>
        <v xml:space="preserve">16030080      </v>
      </c>
      <c r="C2388" t="s">
        <v>6775</v>
      </c>
      <c r="D2388" t="s">
        <v>6775</v>
      </c>
      <c r="E2388" t="s">
        <v>7637</v>
      </c>
      <c r="F2388" t="s">
        <v>7638</v>
      </c>
    </row>
    <row r="2389" spans="1:6" x14ac:dyDescent="0.25">
      <c r="A2389" t="s">
        <v>1677</v>
      </c>
      <c r="B2389" t="str">
        <f>"16041100      "</f>
        <v xml:space="preserve">16041100      </v>
      </c>
      <c r="C2389" t="s">
        <v>7639</v>
      </c>
      <c r="D2389" t="s">
        <v>7639</v>
      </c>
      <c r="E2389" t="s">
        <v>7640</v>
      </c>
      <c r="F2389" t="s">
        <v>7641</v>
      </c>
    </row>
    <row r="2390" spans="1:6" x14ac:dyDescent="0.25">
      <c r="A2390" t="s">
        <v>1677</v>
      </c>
      <c r="B2390" t="str">
        <f>"16041210      "</f>
        <v xml:space="preserve">16041210      </v>
      </c>
      <c r="C2390" t="s">
        <v>7642</v>
      </c>
      <c r="D2390" t="s">
        <v>7642</v>
      </c>
      <c r="E2390" t="s">
        <v>7643</v>
      </c>
      <c r="F2390" t="s">
        <v>7644</v>
      </c>
    </row>
    <row r="2391" spans="1:6" x14ac:dyDescent="0.25">
      <c r="A2391" t="s">
        <v>1677</v>
      </c>
      <c r="B2391" t="str">
        <f>"16041291      "</f>
        <v xml:space="preserve">16041291      </v>
      </c>
      <c r="C2391" t="s">
        <v>7645</v>
      </c>
      <c r="D2391" t="s">
        <v>7645</v>
      </c>
      <c r="E2391" t="s">
        <v>7646</v>
      </c>
      <c r="F2391" t="s">
        <v>7647</v>
      </c>
    </row>
    <row r="2392" spans="1:6" x14ac:dyDescent="0.25">
      <c r="A2392" t="s">
        <v>1677</v>
      </c>
      <c r="B2392" t="str">
        <f>"16041299      "</f>
        <v xml:space="preserve">16041299      </v>
      </c>
      <c r="C2392" t="s">
        <v>6775</v>
      </c>
      <c r="D2392" t="s">
        <v>6775</v>
      </c>
      <c r="E2392" t="s">
        <v>7648</v>
      </c>
      <c r="F2392" t="s">
        <v>7649</v>
      </c>
    </row>
    <row r="2393" spans="1:6" x14ac:dyDescent="0.25">
      <c r="A2393" t="s">
        <v>1677</v>
      </c>
      <c r="B2393" t="str">
        <f>"16041311      "</f>
        <v xml:space="preserve">16041311      </v>
      </c>
      <c r="C2393" t="s">
        <v>7650</v>
      </c>
      <c r="D2393" t="s">
        <v>7650</v>
      </c>
      <c r="E2393" t="s">
        <v>7651</v>
      </c>
      <c r="F2393" t="s">
        <v>7652</v>
      </c>
    </row>
    <row r="2394" spans="1:6" x14ac:dyDescent="0.25">
      <c r="A2394" t="s">
        <v>1677</v>
      </c>
      <c r="B2394" t="str">
        <f>"16041319      "</f>
        <v xml:space="preserve">16041319      </v>
      </c>
      <c r="C2394" t="s">
        <v>6775</v>
      </c>
      <c r="D2394" t="s">
        <v>6775</v>
      </c>
      <c r="E2394" t="s">
        <v>7653</v>
      </c>
      <c r="F2394" t="s">
        <v>7654</v>
      </c>
    </row>
    <row r="2395" spans="1:6" x14ac:dyDescent="0.25">
      <c r="A2395" t="s">
        <v>1677</v>
      </c>
      <c r="B2395" t="str">
        <f>"16041390      "</f>
        <v xml:space="preserve">16041390      </v>
      </c>
      <c r="C2395" t="s">
        <v>6775</v>
      </c>
      <c r="D2395" t="s">
        <v>6775</v>
      </c>
      <c r="E2395" t="s">
        <v>7655</v>
      </c>
      <c r="F2395" t="s">
        <v>7656</v>
      </c>
    </row>
    <row r="2396" spans="1:6" x14ac:dyDescent="0.25">
      <c r="A2396" t="s">
        <v>1677</v>
      </c>
      <c r="B2396" t="str">
        <f>"16041421      "</f>
        <v xml:space="preserve">16041421      </v>
      </c>
      <c r="C2396" t="s">
        <v>7657</v>
      </c>
      <c r="D2396" t="s">
        <v>7657</v>
      </c>
      <c r="E2396" t="s">
        <v>7658</v>
      </c>
      <c r="F2396" t="s">
        <v>7659</v>
      </c>
    </row>
    <row r="2397" spans="1:6" x14ac:dyDescent="0.25">
      <c r="A2397" t="s">
        <v>1677</v>
      </c>
      <c r="B2397" t="str">
        <f>"16041426      "</f>
        <v xml:space="preserve">16041426      </v>
      </c>
      <c r="C2397" t="s">
        <v>7660</v>
      </c>
      <c r="D2397" t="s">
        <v>7660</v>
      </c>
      <c r="E2397" t="s">
        <v>7661</v>
      </c>
      <c r="F2397" t="s">
        <v>7662</v>
      </c>
    </row>
    <row r="2398" spans="1:6" x14ac:dyDescent="0.25">
      <c r="A2398" t="s">
        <v>1677</v>
      </c>
      <c r="B2398" t="str">
        <f>"16041428      "</f>
        <v xml:space="preserve">16041428      </v>
      </c>
      <c r="C2398" t="s">
        <v>6775</v>
      </c>
      <c r="D2398" t="s">
        <v>6775</v>
      </c>
      <c r="E2398" t="s">
        <v>7663</v>
      </c>
      <c r="F2398" t="s">
        <v>7664</v>
      </c>
    </row>
    <row r="2399" spans="1:6" x14ac:dyDescent="0.25">
      <c r="A2399" t="s">
        <v>1677</v>
      </c>
      <c r="B2399" t="str">
        <f>"16041431      "</f>
        <v xml:space="preserve">16041431      </v>
      </c>
      <c r="C2399" t="s">
        <v>7657</v>
      </c>
      <c r="D2399" t="s">
        <v>7657</v>
      </c>
      <c r="E2399" t="s">
        <v>7665</v>
      </c>
      <c r="F2399" t="s">
        <v>7666</v>
      </c>
    </row>
    <row r="2400" spans="1:6" x14ac:dyDescent="0.25">
      <c r="A2400" t="s">
        <v>1677</v>
      </c>
      <c r="B2400" t="str">
        <f>"16041436      "</f>
        <v xml:space="preserve">16041436      </v>
      </c>
      <c r="C2400" t="s">
        <v>7660</v>
      </c>
      <c r="D2400" t="s">
        <v>7660</v>
      </c>
      <c r="E2400" t="s">
        <v>7667</v>
      </c>
      <c r="F2400" t="s">
        <v>7668</v>
      </c>
    </row>
    <row r="2401" spans="1:6" x14ac:dyDescent="0.25">
      <c r="A2401" t="s">
        <v>1677</v>
      </c>
      <c r="B2401" t="str">
        <f>"16041438      "</f>
        <v xml:space="preserve">16041438      </v>
      </c>
      <c r="C2401" t="s">
        <v>6775</v>
      </c>
      <c r="D2401" t="s">
        <v>6775</v>
      </c>
      <c r="E2401" t="s">
        <v>7669</v>
      </c>
      <c r="F2401" t="s">
        <v>7670</v>
      </c>
    </row>
    <row r="2402" spans="1:6" x14ac:dyDescent="0.25">
      <c r="A2402" t="s">
        <v>1677</v>
      </c>
      <c r="B2402" t="str">
        <f>"16041441      "</f>
        <v xml:space="preserve">16041441      </v>
      </c>
      <c r="C2402" t="s">
        <v>7657</v>
      </c>
      <c r="D2402" t="s">
        <v>7657</v>
      </c>
      <c r="E2402" t="s">
        <v>7671</v>
      </c>
      <c r="F2402" t="s">
        <v>7672</v>
      </c>
    </row>
    <row r="2403" spans="1:6" x14ac:dyDescent="0.25">
      <c r="A2403" t="s">
        <v>1677</v>
      </c>
      <c r="B2403" t="str">
        <f>"16041446      "</f>
        <v xml:space="preserve">16041446      </v>
      </c>
      <c r="C2403" t="s">
        <v>7660</v>
      </c>
      <c r="D2403" t="s">
        <v>7660</v>
      </c>
      <c r="E2403" t="s">
        <v>7673</v>
      </c>
      <c r="F2403" t="s">
        <v>7674</v>
      </c>
    </row>
    <row r="2404" spans="1:6" x14ac:dyDescent="0.25">
      <c r="A2404" t="s">
        <v>1677</v>
      </c>
      <c r="B2404" t="str">
        <f>"16041448      "</f>
        <v xml:space="preserve">16041448      </v>
      </c>
      <c r="C2404" t="s">
        <v>6775</v>
      </c>
      <c r="D2404" t="s">
        <v>6775</v>
      </c>
      <c r="E2404" t="s">
        <v>7675</v>
      </c>
      <c r="F2404" t="s">
        <v>7676</v>
      </c>
    </row>
    <row r="2405" spans="1:6" x14ac:dyDescent="0.25">
      <c r="A2405" t="s">
        <v>1677</v>
      </c>
      <c r="B2405" t="str">
        <f>"16041490      "</f>
        <v xml:space="preserve">16041490      </v>
      </c>
      <c r="C2405" t="s">
        <v>7677</v>
      </c>
      <c r="D2405" t="s">
        <v>7677</v>
      </c>
      <c r="E2405" t="s">
        <v>7678</v>
      </c>
      <c r="F2405" t="s">
        <v>7679</v>
      </c>
    </row>
    <row r="2406" spans="1:6" x14ac:dyDescent="0.25">
      <c r="A2406" t="s">
        <v>1677</v>
      </c>
      <c r="B2406" t="str">
        <f>"16041511      "</f>
        <v xml:space="preserve">16041511      </v>
      </c>
      <c r="C2406" t="s">
        <v>5147</v>
      </c>
      <c r="D2406" t="s">
        <v>5147</v>
      </c>
      <c r="E2406" t="s">
        <v>7680</v>
      </c>
      <c r="F2406" t="s">
        <v>7681</v>
      </c>
    </row>
    <row r="2407" spans="1:6" x14ac:dyDescent="0.25">
      <c r="A2407" t="s">
        <v>1677</v>
      </c>
      <c r="B2407" t="str">
        <f>"16041519      "</f>
        <v xml:space="preserve">16041519      </v>
      </c>
      <c r="C2407" t="s">
        <v>6775</v>
      </c>
      <c r="D2407" t="s">
        <v>6775</v>
      </c>
      <c r="E2407" t="s">
        <v>7682</v>
      </c>
      <c r="F2407" t="s">
        <v>7683</v>
      </c>
    </row>
    <row r="2408" spans="1:6" x14ac:dyDescent="0.25">
      <c r="A2408" t="s">
        <v>1677</v>
      </c>
      <c r="B2408" t="str">
        <f>"16041590      "</f>
        <v xml:space="preserve">16041590      </v>
      </c>
      <c r="C2408" t="s">
        <v>7684</v>
      </c>
      <c r="D2408" t="s">
        <v>7684</v>
      </c>
      <c r="E2408" t="s">
        <v>7685</v>
      </c>
      <c r="F2408" t="s">
        <v>7686</v>
      </c>
    </row>
    <row r="2409" spans="1:6" x14ac:dyDescent="0.25">
      <c r="A2409" t="s">
        <v>1677</v>
      </c>
      <c r="B2409" t="str">
        <f>"16041600      "</f>
        <v xml:space="preserve">16041600      </v>
      </c>
      <c r="C2409" t="s">
        <v>7687</v>
      </c>
      <c r="D2409" t="s">
        <v>7687</v>
      </c>
      <c r="E2409" t="s">
        <v>7688</v>
      </c>
      <c r="F2409" t="s">
        <v>7689</v>
      </c>
    </row>
    <row r="2410" spans="1:6" x14ac:dyDescent="0.25">
      <c r="A2410" t="s">
        <v>1677</v>
      </c>
      <c r="B2410" t="str">
        <f>"16041700      "</f>
        <v xml:space="preserve">16041700      </v>
      </c>
      <c r="C2410" t="s">
        <v>7690</v>
      </c>
      <c r="D2410" t="s">
        <v>7690</v>
      </c>
      <c r="E2410" t="s">
        <v>7691</v>
      </c>
      <c r="F2410" t="s">
        <v>7692</v>
      </c>
    </row>
    <row r="2411" spans="1:6" x14ac:dyDescent="0.25">
      <c r="A2411" t="s">
        <v>1677</v>
      </c>
      <c r="B2411" t="str">
        <f>"16041800      "</f>
        <v xml:space="preserve">16041800      </v>
      </c>
      <c r="C2411" t="s">
        <v>6914</v>
      </c>
      <c r="D2411" t="s">
        <v>6914</v>
      </c>
      <c r="E2411" t="s">
        <v>7693</v>
      </c>
      <c r="F2411" t="s">
        <v>7694</v>
      </c>
    </row>
    <row r="2412" spans="1:6" x14ac:dyDescent="0.25">
      <c r="A2412" t="s">
        <v>1677</v>
      </c>
      <c r="B2412" t="str">
        <f>"16041910      "</f>
        <v xml:space="preserve">16041910      </v>
      </c>
      <c r="C2412" t="s">
        <v>7695</v>
      </c>
      <c r="D2412" t="s">
        <v>7695</v>
      </c>
      <c r="E2412" t="s">
        <v>7696</v>
      </c>
      <c r="F2412" t="s">
        <v>7697</v>
      </c>
    </row>
    <row r="2413" spans="1:6" x14ac:dyDescent="0.25">
      <c r="A2413" t="s">
        <v>1677</v>
      </c>
      <c r="B2413" t="str">
        <f>"16041931      "</f>
        <v xml:space="preserve">16041931      </v>
      </c>
      <c r="C2413" t="s">
        <v>7660</v>
      </c>
      <c r="D2413" t="s">
        <v>7660</v>
      </c>
      <c r="E2413" t="s">
        <v>7698</v>
      </c>
      <c r="F2413" t="s">
        <v>7699</v>
      </c>
    </row>
    <row r="2414" spans="1:6" x14ac:dyDescent="0.25">
      <c r="A2414" t="s">
        <v>1677</v>
      </c>
      <c r="B2414" t="str">
        <f>"16041939      "</f>
        <v xml:space="preserve">16041939      </v>
      </c>
      <c r="C2414" t="s">
        <v>6775</v>
      </c>
      <c r="D2414" t="s">
        <v>6775</v>
      </c>
      <c r="E2414" t="s">
        <v>7700</v>
      </c>
      <c r="F2414" t="s">
        <v>7701</v>
      </c>
    </row>
    <row r="2415" spans="1:6" x14ac:dyDescent="0.25">
      <c r="A2415" t="s">
        <v>1677</v>
      </c>
      <c r="B2415" t="str">
        <f>"16041950      "</f>
        <v xml:space="preserve">16041950      </v>
      </c>
      <c r="C2415" t="s">
        <v>7702</v>
      </c>
      <c r="D2415" t="s">
        <v>7702</v>
      </c>
      <c r="E2415" t="s">
        <v>7703</v>
      </c>
      <c r="F2415" t="s">
        <v>7704</v>
      </c>
    </row>
    <row r="2416" spans="1:6" x14ac:dyDescent="0.25">
      <c r="A2416" t="s">
        <v>1677</v>
      </c>
      <c r="B2416" t="str">
        <f>"16041991      "</f>
        <v xml:space="preserve">16041991      </v>
      </c>
      <c r="C2416" t="s">
        <v>7642</v>
      </c>
      <c r="D2416" t="s">
        <v>7642</v>
      </c>
      <c r="E2416" t="s">
        <v>7705</v>
      </c>
      <c r="F2416" t="s">
        <v>7706</v>
      </c>
    </row>
    <row r="2417" spans="1:6" x14ac:dyDescent="0.25">
      <c r="A2417" t="s">
        <v>1677</v>
      </c>
      <c r="B2417" t="str">
        <f>"16041992      "</f>
        <v xml:space="preserve">16041992      </v>
      </c>
      <c r="C2417" t="s">
        <v>6899</v>
      </c>
      <c r="D2417" t="s">
        <v>6899</v>
      </c>
      <c r="E2417" t="s">
        <v>7707</v>
      </c>
      <c r="F2417" t="s">
        <v>7708</v>
      </c>
    </row>
    <row r="2418" spans="1:6" x14ac:dyDescent="0.25">
      <c r="A2418" t="s">
        <v>1677</v>
      </c>
      <c r="B2418" t="str">
        <f>"16041993      "</f>
        <v xml:space="preserve">16041993      </v>
      </c>
      <c r="C2418" t="s">
        <v>7709</v>
      </c>
      <c r="D2418" t="s">
        <v>7709</v>
      </c>
      <c r="E2418" t="s">
        <v>7710</v>
      </c>
      <c r="F2418" t="s">
        <v>7711</v>
      </c>
    </row>
    <row r="2419" spans="1:6" x14ac:dyDescent="0.25">
      <c r="A2419" t="s">
        <v>1677</v>
      </c>
      <c r="B2419" t="str">
        <f>"16041994      "</f>
        <v xml:space="preserve">16041994      </v>
      </c>
      <c r="C2419" t="s">
        <v>7712</v>
      </c>
      <c r="D2419" t="s">
        <v>7712</v>
      </c>
      <c r="E2419" t="s">
        <v>7713</v>
      </c>
      <c r="F2419" t="s">
        <v>7714</v>
      </c>
    </row>
    <row r="2420" spans="1:6" x14ac:dyDescent="0.25">
      <c r="A2420" t="s">
        <v>1677</v>
      </c>
      <c r="B2420" t="str">
        <f>"16041995      "</f>
        <v xml:space="preserve">16041995      </v>
      </c>
      <c r="C2420" t="s">
        <v>7715</v>
      </c>
      <c r="D2420" t="s">
        <v>7715</v>
      </c>
      <c r="E2420" t="s">
        <v>7716</v>
      </c>
      <c r="F2420" t="s">
        <v>7717</v>
      </c>
    </row>
    <row r="2421" spans="1:6" x14ac:dyDescent="0.25">
      <c r="A2421" t="s">
        <v>1677</v>
      </c>
      <c r="B2421" t="str">
        <f>"16041997      "</f>
        <v xml:space="preserve">16041997      </v>
      </c>
      <c r="C2421" t="s">
        <v>6775</v>
      </c>
      <c r="D2421" t="s">
        <v>6775</v>
      </c>
      <c r="E2421" t="s">
        <v>7718</v>
      </c>
      <c r="F2421" t="s">
        <v>7719</v>
      </c>
    </row>
    <row r="2422" spans="1:6" x14ac:dyDescent="0.25">
      <c r="A2422" t="s">
        <v>1677</v>
      </c>
      <c r="B2422" t="str">
        <f>"16042005      "</f>
        <v xml:space="preserve">16042005      </v>
      </c>
      <c r="C2422" t="s">
        <v>7720</v>
      </c>
      <c r="D2422" t="s">
        <v>7720</v>
      </c>
      <c r="E2422" t="s">
        <v>7721</v>
      </c>
      <c r="F2422" t="s">
        <v>7722</v>
      </c>
    </row>
    <row r="2423" spans="1:6" x14ac:dyDescent="0.25">
      <c r="A2423" t="s">
        <v>1677</v>
      </c>
      <c r="B2423" t="str">
        <f>"16042010      "</f>
        <v xml:space="preserve">16042010      </v>
      </c>
      <c r="C2423" t="s">
        <v>7639</v>
      </c>
      <c r="D2423" t="s">
        <v>7639</v>
      </c>
      <c r="E2423" t="s">
        <v>7723</v>
      </c>
      <c r="F2423" t="s">
        <v>7724</v>
      </c>
    </row>
    <row r="2424" spans="1:6" x14ac:dyDescent="0.25">
      <c r="A2424" t="s">
        <v>1677</v>
      </c>
      <c r="B2424" t="str">
        <f>"16042030      "</f>
        <v xml:space="preserve">16042030      </v>
      </c>
      <c r="C2424" t="s">
        <v>7695</v>
      </c>
      <c r="D2424" t="s">
        <v>7695</v>
      </c>
      <c r="E2424" t="s">
        <v>7725</v>
      </c>
      <c r="F2424" t="s">
        <v>7726</v>
      </c>
    </row>
    <row r="2425" spans="1:6" x14ac:dyDescent="0.25">
      <c r="A2425" t="s">
        <v>1677</v>
      </c>
      <c r="B2425" t="str">
        <f>"16042040      "</f>
        <v xml:space="preserve">16042040      </v>
      </c>
      <c r="C2425" t="s">
        <v>7687</v>
      </c>
      <c r="D2425" t="s">
        <v>7687</v>
      </c>
      <c r="E2425" t="s">
        <v>7727</v>
      </c>
      <c r="F2425" t="s">
        <v>7728</v>
      </c>
    </row>
    <row r="2426" spans="1:6" x14ac:dyDescent="0.25">
      <c r="A2426" t="s">
        <v>1677</v>
      </c>
      <c r="B2426" t="str">
        <f>"16042050      "</f>
        <v xml:space="preserve">16042050      </v>
      </c>
      <c r="C2426" t="s">
        <v>7729</v>
      </c>
      <c r="D2426" t="s">
        <v>7729</v>
      </c>
      <c r="E2426" t="s">
        <v>7730</v>
      </c>
      <c r="F2426" t="s">
        <v>7731</v>
      </c>
    </row>
    <row r="2427" spans="1:6" x14ac:dyDescent="0.25">
      <c r="A2427" t="s">
        <v>1677</v>
      </c>
      <c r="B2427" t="str">
        <f>"16042070      "</f>
        <v xml:space="preserve">16042070      </v>
      </c>
      <c r="C2427" t="s">
        <v>7732</v>
      </c>
      <c r="D2427" t="s">
        <v>7732</v>
      </c>
      <c r="E2427" t="s">
        <v>7733</v>
      </c>
      <c r="F2427" t="s">
        <v>7734</v>
      </c>
    </row>
    <row r="2428" spans="1:6" x14ac:dyDescent="0.25">
      <c r="A2428" t="s">
        <v>1677</v>
      </c>
      <c r="B2428" t="str">
        <f>"16042090      "</f>
        <v xml:space="preserve">16042090      </v>
      </c>
      <c r="C2428" t="s">
        <v>6775</v>
      </c>
      <c r="D2428" t="s">
        <v>6775</v>
      </c>
      <c r="E2428" t="s">
        <v>7735</v>
      </c>
      <c r="F2428" t="s">
        <v>7736</v>
      </c>
    </row>
    <row r="2429" spans="1:6" x14ac:dyDescent="0.25">
      <c r="A2429" t="s">
        <v>1677</v>
      </c>
      <c r="B2429" t="str">
        <f>"16043100      "</f>
        <v xml:space="preserve">16043100      </v>
      </c>
      <c r="C2429" t="s">
        <v>7737</v>
      </c>
      <c r="D2429" t="s">
        <v>7737</v>
      </c>
      <c r="E2429" t="s">
        <v>7738</v>
      </c>
      <c r="F2429" t="s">
        <v>7739</v>
      </c>
    </row>
    <row r="2430" spans="1:6" x14ac:dyDescent="0.25">
      <c r="A2430" t="s">
        <v>1677</v>
      </c>
      <c r="B2430" t="str">
        <f>"16043200      "</f>
        <v xml:space="preserve">16043200      </v>
      </c>
      <c r="C2430" t="s">
        <v>7740</v>
      </c>
      <c r="D2430" t="s">
        <v>7740</v>
      </c>
      <c r="E2430" t="s">
        <v>7741</v>
      </c>
      <c r="F2430" t="s">
        <v>7742</v>
      </c>
    </row>
    <row r="2431" spans="1:6" x14ac:dyDescent="0.25">
      <c r="A2431" t="s">
        <v>1677</v>
      </c>
      <c r="B2431" t="str">
        <f>"16051000      "</f>
        <v xml:space="preserve">16051000      </v>
      </c>
      <c r="C2431" t="s">
        <v>7743</v>
      </c>
      <c r="D2431" t="s">
        <v>7743</v>
      </c>
      <c r="E2431" t="s">
        <v>7744</v>
      </c>
      <c r="F2431" t="s">
        <v>7745</v>
      </c>
    </row>
    <row r="2432" spans="1:6" x14ac:dyDescent="0.25">
      <c r="A2432" t="s">
        <v>1677</v>
      </c>
      <c r="B2432" t="str">
        <f>"16052110      "</f>
        <v xml:space="preserve">16052110      </v>
      </c>
      <c r="C2432" t="s">
        <v>7746</v>
      </c>
      <c r="D2432" t="s">
        <v>7746</v>
      </c>
      <c r="E2432" t="s">
        <v>7747</v>
      </c>
      <c r="F2432" t="s">
        <v>7748</v>
      </c>
    </row>
    <row r="2433" spans="1:6" x14ac:dyDescent="0.25">
      <c r="A2433" t="s">
        <v>1677</v>
      </c>
      <c r="B2433" t="str">
        <f>"16052190      "</f>
        <v xml:space="preserve">16052190      </v>
      </c>
      <c r="C2433" t="s">
        <v>6775</v>
      </c>
      <c r="D2433" t="s">
        <v>6775</v>
      </c>
      <c r="E2433" t="s">
        <v>7749</v>
      </c>
      <c r="F2433" t="s">
        <v>7750</v>
      </c>
    </row>
    <row r="2434" spans="1:6" x14ac:dyDescent="0.25">
      <c r="A2434" t="s">
        <v>1677</v>
      </c>
      <c r="B2434" t="str">
        <f>"16052900      "</f>
        <v xml:space="preserve">16052900      </v>
      </c>
      <c r="C2434" t="s">
        <v>6775</v>
      </c>
      <c r="D2434" t="s">
        <v>6775</v>
      </c>
      <c r="E2434" t="s">
        <v>7751</v>
      </c>
      <c r="F2434" t="s">
        <v>7752</v>
      </c>
    </row>
    <row r="2435" spans="1:6" x14ac:dyDescent="0.25">
      <c r="A2435" t="s">
        <v>1677</v>
      </c>
      <c r="B2435" t="str">
        <f>"16053010      "</f>
        <v xml:space="preserve">16053010      </v>
      </c>
      <c r="C2435" t="s">
        <v>7753</v>
      </c>
      <c r="D2435" t="s">
        <v>7753</v>
      </c>
      <c r="E2435" t="s">
        <v>7754</v>
      </c>
      <c r="F2435" t="s">
        <v>7755</v>
      </c>
    </row>
    <row r="2436" spans="1:6" x14ac:dyDescent="0.25">
      <c r="A2436" t="s">
        <v>1677</v>
      </c>
      <c r="B2436" t="str">
        <f>"16053090      "</f>
        <v xml:space="preserve">16053090      </v>
      </c>
      <c r="C2436" t="s">
        <v>6775</v>
      </c>
      <c r="D2436" t="s">
        <v>6775</v>
      </c>
      <c r="E2436" t="s">
        <v>7756</v>
      </c>
      <c r="F2436" t="s">
        <v>7757</v>
      </c>
    </row>
    <row r="2437" spans="1:6" x14ac:dyDescent="0.25">
      <c r="A2437" t="s">
        <v>1677</v>
      </c>
      <c r="B2437" t="str">
        <f>"16054000      "</f>
        <v xml:space="preserve">16054000      </v>
      </c>
      <c r="C2437" t="s">
        <v>7758</v>
      </c>
      <c r="D2437" t="s">
        <v>7758</v>
      </c>
      <c r="E2437" t="s">
        <v>7759</v>
      </c>
      <c r="F2437" t="s">
        <v>7760</v>
      </c>
    </row>
    <row r="2438" spans="1:6" x14ac:dyDescent="0.25">
      <c r="A2438" t="s">
        <v>1677</v>
      </c>
      <c r="B2438" t="str">
        <f>"16055100      "</f>
        <v xml:space="preserve">16055100      </v>
      </c>
      <c r="C2438" t="s">
        <v>7761</v>
      </c>
      <c r="D2438" t="s">
        <v>7761</v>
      </c>
      <c r="E2438" t="s">
        <v>7762</v>
      </c>
      <c r="F2438" t="s">
        <v>7763</v>
      </c>
    </row>
    <row r="2439" spans="1:6" x14ac:dyDescent="0.25">
      <c r="A2439" t="s">
        <v>1677</v>
      </c>
      <c r="B2439" t="str">
        <f>"16055200      "</f>
        <v xml:space="preserve">16055200      </v>
      </c>
      <c r="C2439" t="s">
        <v>7764</v>
      </c>
      <c r="D2439" t="s">
        <v>7764</v>
      </c>
      <c r="E2439" t="s">
        <v>7765</v>
      </c>
      <c r="F2439" t="s">
        <v>7766</v>
      </c>
    </row>
    <row r="2440" spans="1:6" x14ac:dyDescent="0.25">
      <c r="A2440" t="s">
        <v>1677</v>
      </c>
      <c r="B2440" t="str">
        <f>"16055310      "</f>
        <v xml:space="preserve">16055310      </v>
      </c>
      <c r="C2440" t="s">
        <v>7645</v>
      </c>
      <c r="D2440" t="s">
        <v>7645</v>
      </c>
      <c r="E2440" t="s">
        <v>7767</v>
      </c>
      <c r="F2440" t="s">
        <v>7768</v>
      </c>
    </row>
    <row r="2441" spans="1:6" x14ac:dyDescent="0.25">
      <c r="A2441" t="s">
        <v>1677</v>
      </c>
      <c r="B2441" t="str">
        <f>"16055390      "</f>
        <v xml:space="preserve">16055390      </v>
      </c>
      <c r="C2441" t="s">
        <v>6775</v>
      </c>
      <c r="D2441" t="s">
        <v>6775</v>
      </c>
      <c r="E2441" t="s">
        <v>7769</v>
      </c>
      <c r="F2441" t="s">
        <v>7770</v>
      </c>
    </row>
    <row r="2442" spans="1:6" x14ac:dyDescent="0.25">
      <c r="A2442" t="s">
        <v>1677</v>
      </c>
      <c r="B2442" t="str">
        <f>"16055400      "</f>
        <v xml:space="preserve">16055400      </v>
      </c>
      <c r="C2442" t="s">
        <v>7771</v>
      </c>
      <c r="D2442" t="s">
        <v>7771</v>
      </c>
      <c r="E2442" t="s">
        <v>7772</v>
      </c>
      <c r="F2442" t="s">
        <v>7773</v>
      </c>
    </row>
    <row r="2443" spans="1:6" x14ac:dyDescent="0.25">
      <c r="A2443" t="s">
        <v>1677</v>
      </c>
      <c r="B2443" t="str">
        <f>"16055500      "</f>
        <v xml:space="preserve">16055500      </v>
      </c>
      <c r="C2443" t="s">
        <v>7774</v>
      </c>
      <c r="D2443" t="s">
        <v>7774</v>
      </c>
      <c r="E2443" t="s">
        <v>7775</v>
      </c>
      <c r="F2443" t="s">
        <v>7776</v>
      </c>
    </row>
    <row r="2444" spans="1:6" x14ac:dyDescent="0.25">
      <c r="A2444" t="s">
        <v>1677</v>
      </c>
      <c r="B2444" t="str">
        <f>"16055600      "</f>
        <v xml:space="preserve">16055600      </v>
      </c>
      <c r="C2444" t="s">
        <v>7777</v>
      </c>
      <c r="D2444" t="s">
        <v>7777</v>
      </c>
      <c r="E2444" t="s">
        <v>7778</v>
      </c>
      <c r="F2444" t="s">
        <v>7779</v>
      </c>
    </row>
    <row r="2445" spans="1:6" x14ac:dyDescent="0.25">
      <c r="A2445" t="s">
        <v>1677</v>
      </c>
      <c r="B2445" t="str">
        <f>"16055700      "</f>
        <v xml:space="preserve">16055700      </v>
      </c>
      <c r="C2445" t="s">
        <v>7780</v>
      </c>
      <c r="D2445" t="s">
        <v>7780</v>
      </c>
      <c r="E2445" t="s">
        <v>7781</v>
      </c>
      <c r="F2445" t="s">
        <v>7782</v>
      </c>
    </row>
    <row r="2446" spans="1:6" x14ac:dyDescent="0.25">
      <c r="A2446" t="s">
        <v>1677</v>
      </c>
      <c r="B2446" t="str">
        <f>"16055800      "</f>
        <v xml:space="preserve">16055800      </v>
      </c>
      <c r="C2446" t="s">
        <v>7783</v>
      </c>
      <c r="D2446" t="s">
        <v>7783</v>
      </c>
      <c r="E2446" t="s">
        <v>7784</v>
      </c>
      <c r="F2446" t="s">
        <v>7785</v>
      </c>
    </row>
    <row r="2447" spans="1:6" x14ac:dyDescent="0.25">
      <c r="A2447" t="s">
        <v>1677</v>
      </c>
      <c r="B2447" t="str">
        <f>"16055900      "</f>
        <v xml:space="preserve">16055900      </v>
      </c>
      <c r="C2447" t="s">
        <v>6775</v>
      </c>
      <c r="D2447" t="s">
        <v>6775</v>
      </c>
      <c r="E2447" t="s">
        <v>7786</v>
      </c>
      <c r="F2447" t="s">
        <v>7787</v>
      </c>
    </row>
    <row r="2448" spans="1:6" x14ac:dyDescent="0.25">
      <c r="A2448" t="s">
        <v>1677</v>
      </c>
      <c r="B2448" t="str">
        <f>"16056100      "</f>
        <v xml:space="preserve">16056100      </v>
      </c>
      <c r="C2448" t="s">
        <v>7788</v>
      </c>
      <c r="D2448" t="s">
        <v>7788</v>
      </c>
      <c r="E2448" t="s">
        <v>7789</v>
      </c>
      <c r="F2448" t="s">
        <v>7790</v>
      </c>
    </row>
    <row r="2449" spans="1:6" x14ac:dyDescent="0.25">
      <c r="A2449" t="s">
        <v>1677</v>
      </c>
      <c r="B2449" t="str">
        <f>"16056200      "</f>
        <v xml:space="preserve">16056200      </v>
      </c>
      <c r="C2449" t="s">
        <v>7791</v>
      </c>
      <c r="D2449" t="s">
        <v>7791</v>
      </c>
      <c r="E2449" t="s">
        <v>7792</v>
      </c>
      <c r="F2449" t="s">
        <v>7793</v>
      </c>
    </row>
    <row r="2450" spans="1:6" x14ac:dyDescent="0.25">
      <c r="A2450" t="s">
        <v>1677</v>
      </c>
      <c r="B2450" t="str">
        <f>"16056300      "</f>
        <v xml:space="preserve">16056300      </v>
      </c>
      <c r="C2450" t="s">
        <v>7794</v>
      </c>
      <c r="D2450" t="s">
        <v>7794</v>
      </c>
      <c r="E2450" t="s">
        <v>7795</v>
      </c>
      <c r="F2450" t="s">
        <v>7796</v>
      </c>
    </row>
    <row r="2451" spans="1:6" x14ac:dyDescent="0.25">
      <c r="A2451" t="s">
        <v>1677</v>
      </c>
      <c r="B2451" t="str">
        <f>"16056900      "</f>
        <v xml:space="preserve">16056900      </v>
      </c>
      <c r="C2451" t="s">
        <v>6775</v>
      </c>
      <c r="D2451" t="s">
        <v>6775</v>
      </c>
      <c r="E2451" t="s">
        <v>7797</v>
      </c>
      <c r="F2451" t="s">
        <v>7798</v>
      </c>
    </row>
    <row r="2452" spans="1:6" x14ac:dyDescent="0.25">
      <c r="A2452" t="s">
        <v>1677</v>
      </c>
      <c r="B2452" t="str">
        <f>"20089311      "</f>
        <v xml:space="preserve">20089311      </v>
      </c>
      <c r="C2452" t="s">
        <v>7799</v>
      </c>
      <c r="D2452" t="s">
        <v>7799</v>
      </c>
      <c r="E2452" t="s">
        <v>7800</v>
      </c>
      <c r="F2452" t="s">
        <v>7801</v>
      </c>
    </row>
    <row r="2453" spans="1:6" x14ac:dyDescent="0.25">
      <c r="A2453" t="s">
        <v>1677</v>
      </c>
      <c r="B2453" t="str">
        <f>"20089319      "</f>
        <v xml:space="preserve">20089319      </v>
      </c>
      <c r="C2453" t="s">
        <v>6775</v>
      </c>
      <c r="D2453" t="s">
        <v>6775</v>
      </c>
      <c r="E2453" t="s">
        <v>7802</v>
      </c>
      <c r="F2453" t="s">
        <v>7803</v>
      </c>
    </row>
    <row r="2454" spans="1:6" x14ac:dyDescent="0.25">
      <c r="A2454" t="s">
        <v>1677</v>
      </c>
      <c r="B2454" t="str">
        <f>"20089321      "</f>
        <v xml:space="preserve">20089321      </v>
      </c>
      <c r="C2454" t="s">
        <v>7799</v>
      </c>
      <c r="D2454" t="s">
        <v>7799</v>
      </c>
      <c r="E2454" t="s">
        <v>7804</v>
      </c>
      <c r="F2454" t="s">
        <v>7805</v>
      </c>
    </row>
    <row r="2455" spans="1:6" x14ac:dyDescent="0.25">
      <c r="A2455" t="s">
        <v>1677</v>
      </c>
      <c r="B2455" t="str">
        <f>"20089329      "</f>
        <v xml:space="preserve">20089329      </v>
      </c>
      <c r="C2455" t="s">
        <v>6775</v>
      </c>
      <c r="D2455" t="s">
        <v>6775</v>
      </c>
      <c r="E2455" t="s">
        <v>7806</v>
      </c>
      <c r="F2455" t="s">
        <v>7807</v>
      </c>
    </row>
    <row r="2456" spans="1:6" x14ac:dyDescent="0.25">
      <c r="A2456" t="s">
        <v>1677</v>
      </c>
      <c r="B2456" t="str">
        <f>"20089391      "</f>
        <v xml:space="preserve">20089391      </v>
      </c>
      <c r="C2456" t="s">
        <v>7808</v>
      </c>
      <c r="D2456" t="s">
        <v>7808</v>
      </c>
      <c r="E2456" t="s">
        <v>7809</v>
      </c>
      <c r="F2456" t="s">
        <v>7810</v>
      </c>
    </row>
    <row r="2457" spans="1:6" x14ac:dyDescent="0.25">
      <c r="A2457" t="s">
        <v>1677</v>
      </c>
      <c r="B2457" t="str">
        <f>"20089393      "</f>
        <v xml:space="preserve">20089393      </v>
      </c>
      <c r="C2457" t="s">
        <v>7811</v>
      </c>
      <c r="D2457" t="s">
        <v>7811</v>
      </c>
      <c r="E2457" t="s">
        <v>7812</v>
      </c>
      <c r="F2457" t="s">
        <v>7813</v>
      </c>
    </row>
    <row r="2458" spans="1:6" x14ac:dyDescent="0.25">
      <c r="A2458" t="s">
        <v>1677</v>
      </c>
      <c r="B2458" t="str">
        <f>"20089399      "</f>
        <v xml:space="preserve">20089399      </v>
      </c>
      <c r="C2458" t="s">
        <v>7814</v>
      </c>
      <c r="D2458" t="s">
        <v>7814</v>
      </c>
      <c r="E2458" t="s">
        <v>7815</v>
      </c>
      <c r="F2458" t="s">
        <v>7816</v>
      </c>
    </row>
    <row r="2459" spans="1:6" x14ac:dyDescent="0.25">
      <c r="A2459" t="s">
        <v>1677</v>
      </c>
      <c r="B2459" t="str">
        <f>"20091111      "</f>
        <v xml:space="preserve">20091111      </v>
      </c>
      <c r="C2459" t="s">
        <v>7817</v>
      </c>
      <c r="D2459" t="s">
        <v>7817</v>
      </c>
      <c r="E2459" t="s">
        <v>7818</v>
      </c>
      <c r="F2459" t="s">
        <v>7819</v>
      </c>
    </row>
    <row r="2460" spans="1:6" x14ac:dyDescent="0.25">
      <c r="A2460" t="s">
        <v>1677</v>
      </c>
      <c r="B2460" t="str">
        <f>"20091119      "</f>
        <v xml:space="preserve">20091119      </v>
      </c>
      <c r="C2460" t="s">
        <v>6746</v>
      </c>
      <c r="D2460" t="s">
        <v>6746</v>
      </c>
      <c r="E2460" t="s">
        <v>7820</v>
      </c>
      <c r="F2460" t="s">
        <v>7821</v>
      </c>
    </row>
    <row r="2461" spans="1:6" x14ac:dyDescent="0.25">
      <c r="A2461" t="s">
        <v>1677</v>
      </c>
      <c r="B2461" t="str">
        <f>"20091191      "</f>
        <v xml:space="preserve">20091191      </v>
      </c>
      <c r="C2461" t="s">
        <v>7822</v>
      </c>
      <c r="D2461" t="s">
        <v>7822</v>
      </c>
      <c r="E2461" t="s">
        <v>7823</v>
      </c>
      <c r="F2461" t="s">
        <v>7824</v>
      </c>
    </row>
    <row r="2462" spans="1:6" x14ac:dyDescent="0.25">
      <c r="A2462" t="s">
        <v>1677</v>
      </c>
      <c r="B2462" t="str">
        <f>"20091199      "</f>
        <v xml:space="preserve">20091199      </v>
      </c>
      <c r="C2462" t="s">
        <v>6746</v>
      </c>
      <c r="D2462" t="s">
        <v>6746</v>
      </c>
      <c r="E2462" t="s">
        <v>7825</v>
      </c>
      <c r="F2462" t="s">
        <v>7826</v>
      </c>
    </row>
    <row r="2463" spans="1:6" x14ac:dyDescent="0.25">
      <c r="A2463" t="s">
        <v>1677</v>
      </c>
      <c r="B2463" t="str">
        <f>"20091200      "</f>
        <v xml:space="preserve">20091200      </v>
      </c>
      <c r="C2463" t="s">
        <v>7827</v>
      </c>
      <c r="D2463" t="s">
        <v>7827</v>
      </c>
      <c r="E2463" t="s">
        <v>7828</v>
      </c>
      <c r="F2463" t="s">
        <v>7829</v>
      </c>
    </row>
    <row r="2464" spans="1:6" x14ac:dyDescent="0.25">
      <c r="A2464" t="s">
        <v>1677</v>
      </c>
      <c r="B2464" t="str">
        <f>"20091911      "</f>
        <v xml:space="preserve">20091911      </v>
      </c>
      <c r="C2464" t="s">
        <v>7817</v>
      </c>
      <c r="D2464" t="s">
        <v>7817</v>
      </c>
      <c r="E2464" t="s">
        <v>7830</v>
      </c>
      <c r="F2464" t="s">
        <v>7831</v>
      </c>
    </row>
    <row r="2465" spans="1:6" x14ac:dyDescent="0.25">
      <c r="A2465" t="s">
        <v>1677</v>
      </c>
      <c r="B2465" t="str">
        <f>"20091919      "</f>
        <v xml:space="preserve">20091919      </v>
      </c>
      <c r="C2465" t="s">
        <v>6746</v>
      </c>
      <c r="D2465" t="s">
        <v>6746</v>
      </c>
      <c r="E2465" t="s">
        <v>7832</v>
      </c>
      <c r="F2465" t="s">
        <v>7833</v>
      </c>
    </row>
    <row r="2466" spans="1:6" x14ac:dyDescent="0.25">
      <c r="A2466" t="s">
        <v>1677</v>
      </c>
      <c r="B2466" t="str">
        <f>"20091991      "</f>
        <v xml:space="preserve">20091991      </v>
      </c>
      <c r="C2466" t="s">
        <v>7822</v>
      </c>
      <c r="D2466" t="s">
        <v>7822</v>
      </c>
      <c r="E2466" t="s">
        <v>7834</v>
      </c>
      <c r="F2466" t="s">
        <v>7835</v>
      </c>
    </row>
    <row r="2467" spans="1:6" x14ac:dyDescent="0.25">
      <c r="A2467" t="s">
        <v>1677</v>
      </c>
      <c r="B2467" t="str">
        <f>"20091998      "</f>
        <v xml:space="preserve">20091998      </v>
      </c>
      <c r="C2467" t="s">
        <v>6746</v>
      </c>
      <c r="D2467" t="s">
        <v>6746</v>
      </c>
      <c r="E2467" t="s">
        <v>7836</v>
      </c>
      <c r="F2467" t="s">
        <v>7837</v>
      </c>
    </row>
    <row r="2468" spans="1:6" x14ac:dyDescent="0.25">
      <c r="A2468" t="s">
        <v>1677</v>
      </c>
      <c r="B2468" t="str">
        <f>"20092100      "</f>
        <v xml:space="preserve">20092100      </v>
      </c>
      <c r="C2468" t="s">
        <v>7838</v>
      </c>
      <c r="D2468" t="s">
        <v>7838</v>
      </c>
      <c r="E2468" t="s">
        <v>7839</v>
      </c>
      <c r="F2468" t="s">
        <v>7840</v>
      </c>
    </row>
    <row r="2469" spans="1:6" x14ac:dyDescent="0.25">
      <c r="A2469" t="s">
        <v>1677</v>
      </c>
      <c r="B2469" t="str">
        <f>"20092911      "</f>
        <v xml:space="preserve">20092911      </v>
      </c>
      <c r="C2469" t="s">
        <v>7817</v>
      </c>
      <c r="D2469" t="s">
        <v>7817</v>
      </c>
      <c r="E2469" t="s">
        <v>7841</v>
      </c>
      <c r="F2469" t="s">
        <v>7842</v>
      </c>
    </row>
    <row r="2470" spans="1:6" x14ac:dyDescent="0.25">
      <c r="A2470" t="s">
        <v>1677</v>
      </c>
      <c r="B2470" t="str">
        <f>"20092919      "</f>
        <v xml:space="preserve">20092919      </v>
      </c>
      <c r="C2470" t="s">
        <v>6746</v>
      </c>
      <c r="D2470" t="s">
        <v>6746</v>
      </c>
      <c r="E2470" t="s">
        <v>7843</v>
      </c>
      <c r="F2470" t="s">
        <v>7844</v>
      </c>
    </row>
    <row r="2471" spans="1:6" x14ac:dyDescent="0.25">
      <c r="A2471" t="s">
        <v>1677</v>
      </c>
      <c r="B2471" t="str">
        <f>"20092991      "</f>
        <v xml:space="preserve">20092991      </v>
      </c>
      <c r="C2471" t="s">
        <v>7822</v>
      </c>
      <c r="D2471" t="s">
        <v>7822</v>
      </c>
      <c r="E2471" t="s">
        <v>7845</v>
      </c>
      <c r="F2471" t="s">
        <v>7846</v>
      </c>
    </row>
    <row r="2472" spans="1:6" x14ac:dyDescent="0.25">
      <c r="A2472" t="s">
        <v>1677</v>
      </c>
      <c r="B2472" t="str">
        <f>"20092999      "</f>
        <v xml:space="preserve">20092999      </v>
      </c>
      <c r="C2472" t="s">
        <v>6746</v>
      </c>
      <c r="D2472" t="s">
        <v>6746</v>
      </c>
      <c r="E2472" t="s">
        <v>7847</v>
      </c>
      <c r="F2472" t="s">
        <v>7848</v>
      </c>
    </row>
    <row r="2473" spans="1:6" x14ac:dyDescent="0.25">
      <c r="A2473" t="s">
        <v>1677</v>
      </c>
      <c r="B2473" t="str">
        <f>"20093111      "</f>
        <v xml:space="preserve">20093111      </v>
      </c>
      <c r="C2473" t="s">
        <v>7849</v>
      </c>
      <c r="D2473" t="s">
        <v>7849</v>
      </c>
      <c r="E2473" t="s">
        <v>7850</v>
      </c>
      <c r="F2473" t="s">
        <v>7851</v>
      </c>
    </row>
    <row r="2474" spans="1:6" x14ac:dyDescent="0.25">
      <c r="A2474" t="s">
        <v>1677</v>
      </c>
      <c r="B2474" t="str">
        <f>"20093119      "</f>
        <v xml:space="preserve">20093119      </v>
      </c>
      <c r="C2474" t="s">
        <v>7852</v>
      </c>
      <c r="D2474" t="s">
        <v>7852</v>
      </c>
      <c r="E2474" t="s">
        <v>7853</v>
      </c>
      <c r="F2474" t="s">
        <v>7854</v>
      </c>
    </row>
    <row r="2475" spans="1:6" x14ac:dyDescent="0.25">
      <c r="A2475" t="s">
        <v>1677</v>
      </c>
      <c r="B2475" t="str">
        <f>"20093151      "</f>
        <v xml:space="preserve">20093151      </v>
      </c>
      <c r="C2475" t="s">
        <v>7849</v>
      </c>
      <c r="D2475" t="s">
        <v>7849</v>
      </c>
      <c r="E2475" t="s">
        <v>7855</v>
      </c>
      <c r="F2475" t="s">
        <v>7856</v>
      </c>
    </row>
    <row r="2476" spans="1:6" x14ac:dyDescent="0.25">
      <c r="A2476" t="s">
        <v>1677</v>
      </c>
      <c r="B2476" t="str">
        <f>"20093159      "</f>
        <v xml:space="preserve">20093159      </v>
      </c>
      <c r="C2476" t="s">
        <v>7852</v>
      </c>
      <c r="D2476" t="s">
        <v>7852</v>
      </c>
      <c r="E2476" t="s">
        <v>7857</v>
      </c>
      <c r="F2476" t="s">
        <v>7858</v>
      </c>
    </row>
    <row r="2477" spans="1:6" x14ac:dyDescent="0.25">
      <c r="A2477" t="s">
        <v>1677</v>
      </c>
      <c r="B2477" t="str">
        <f>"20093191      "</f>
        <v xml:space="preserve">20093191      </v>
      </c>
      <c r="C2477" t="s">
        <v>7849</v>
      </c>
      <c r="D2477" t="s">
        <v>7849</v>
      </c>
      <c r="E2477" t="s">
        <v>7859</v>
      </c>
      <c r="F2477" t="s">
        <v>7860</v>
      </c>
    </row>
    <row r="2478" spans="1:6" x14ac:dyDescent="0.25">
      <c r="A2478" t="s">
        <v>1677</v>
      </c>
      <c r="B2478" t="str">
        <f>"20093199      "</f>
        <v xml:space="preserve">20093199      </v>
      </c>
      <c r="C2478" t="s">
        <v>7852</v>
      </c>
      <c r="D2478" t="s">
        <v>7852</v>
      </c>
      <c r="E2478" t="s">
        <v>7861</v>
      </c>
      <c r="F2478" t="s">
        <v>7862</v>
      </c>
    </row>
    <row r="2479" spans="1:6" x14ac:dyDescent="0.25">
      <c r="A2479" t="s">
        <v>1677</v>
      </c>
      <c r="B2479" t="str">
        <f>"20093911      "</f>
        <v xml:space="preserve">20093911      </v>
      </c>
      <c r="C2479" t="s">
        <v>7817</v>
      </c>
      <c r="D2479" t="s">
        <v>7817</v>
      </c>
      <c r="E2479" t="s">
        <v>7863</v>
      </c>
      <c r="F2479" t="s">
        <v>7864</v>
      </c>
    </row>
    <row r="2480" spans="1:6" x14ac:dyDescent="0.25">
      <c r="A2480" t="s">
        <v>1677</v>
      </c>
      <c r="B2480" t="str">
        <f>"20093919      "</f>
        <v xml:space="preserve">20093919      </v>
      </c>
      <c r="C2480" t="s">
        <v>6746</v>
      </c>
      <c r="D2480" t="s">
        <v>6746</v>
      </c>
      <c r="E2480" t="s">
        <v>7865</v>
      </c>
      <c r="F2480" t="s">
        <v>7866</v>
      </c>
    </row>
    <row r="2481" spans="1:6" x14ac:dyDescent="0.25">
      <c r="A2481" t="s">
        <v>1677</v>
      </c>
      <c r="B2481" t="str">
        <f>"20093931      "</f>
        <v xml:space="preserve">20093931      </v>
      </c>
      <c r="C2481" t="s">
        <v>7849</v>
      </c>
      <c r="D2481" t="s">
        <v>7849</v>
      </c>
      <c r="E2481" t="s">
        <v>7867</v>
      </c>
      <c r="F2481" t="s">
        <v>7868</v>
      </c>
    </row>
    <row r="2482" spans="1:6" x14ac:dyDescent="0.25">
      <c r="A2482" t="s">
        <v>1677</v>
      </c>
      <c r="B2482" t="str">
        <f>"20093939      "</f>
        <v xml:space="preserve">20093939      </v>
      </c>
      <c r="C2482" t="s">
        <v>7852</v>
      </c>
      <c r="D2482" t="s">
        <v>7852</v>
      </c>
      <c r="E2482" t="s">
        <v>7869</v>
      </c>
      <c r="F2482" t="s">
        <v>7870</v>
      </c>
    </row>
    <row r="2483" spans="1:6" x14ac:dyDescent="0.25">
      <c r="A2483" t="s">
        <v>1677</v>
      </c>
      <c r="B2483" t="str">
        <f>"20093951      "</f>
        <v xml:space="preserve">20093951      </v>
      </c>
      <c r="C2483" t="s">
        <v>7871</v>
      </c>
      <c r="D2483" t="s">
        <v>7871</v>
      </c>
      <c r="E2483" t="s">
        <v>7872</v>
      </c>
      <c r="F2483" t="s">
        <v>7873</v>
      </c>
    </row>
    <row r="2484" spans="1:6" x14ac:dyDescent="0.25">
      <c r="A2484" t="s">
        <v>1677</v>
      </c>
      <c r="B2484" t="str">
        <f>"20093955      "</f>
        <v xml:space="preserve">20093955      </v>
      </c>
      <c r="C2484" t="s">
        <v>7874</v>
      </c>
      <c r="D2484" t="s">
        <v>7874</v>
      </c>
      <c r="E2484" t="s">
        <v>7875</v>
      </c>
      <c r="F2484" t="s">
        <v>7876</v>
      </c>
    </row>
    <row r="2485" spans="1:6" x14ac:dyDescent="0.25">
      <c r="A2485" t="s">
        <v>1677</v>
      </c>
      <c r="B2485" t="str">
        <f>"20093959      "</f>
        <v xml:space="preserve">20093959      </v>
      </c>
      <c r="C2485" t="s">
        <v>7852</v>
      </c>
      <c r="D2485" t="s">
        <v>7852</v>
      </c>
      <c r="E2485" t="s">
        <v>7877</v>
      </c>
      <c r="F2485" t="s">
        <v>7878</v>
      </c>
    </row>
    <row r="2486" spans="1:6" x14ac:dyDescent="0.25">
      <c r="A2486" t="s">
        <v>1677</v>
      </c>
      <c r="B2486" t="str">
        <f>"20093991      "</f>
        <v xml:space="preserve">20093991      </v>
      </c>
      <c r="C2486" t="s">
        <v>7871</v>
      </c>
      <c r="D2486" t="s">
        <v>7871</v>
      </c>
      <c r="E2486" t="s">
        <v>7879</v>
      </c>
      <c r="F2486" t="s">
        <v>7880</v>
      </c>
    </row>
    <row r="2487" spans="1:6" x14ac:dyDescent="0.25">
      <c r="A2487" t="s">
        <v>1677</v>
      </c>
      <c r="B2487" t="str">
        <f>"20093995      "</f>
        <v xml:space="preserve">20093995      </v>
      </c>
      <c r="C2487" t="s">
        <v>7874</v>
      </c>
      <c r="D2487" t="s">
        <v>7874</v>
      </c>
      <c r="E2487" t="s">
        <v>7881</v>
      </c>
      <c r="F2487" t="s">
        <v>7882</v>
      </c>
    </row>
    <row r="2488" spans="1:6" x14ac:dyDescent="0.25">
      <c r="A2488" t="s">
        <v>1677</v>
      </c>
      <c r="B2488" t="str">
        <f>"20093999      "</f>
        <v xml:space="preserve">20093999      </v>
      </c>
      <c r="C2488" t="s">
        <v>7852</v>
      </c>
      <c r="D2488" t="s">
        <v>7852</v>
      </c>
      <c r="E2488" t="s">
        <v>7883</v>
      </c>
      <c r="F2488" t="s">
        <v>7884</v>
      </c>
    </row>
    <row r="2489" spans="1:6" x14ac:dyDescent="0.25">
      <c r="A2489" t="s">
        <v>1677</v>
      </c>
      <c r="B2489" t="str">
        <f>"20094192      "</f>
        <v xml:space="preserve">20094192      </v>
      </c>
      <c r="C2489" t="s">
        <v>7849</v>
      </c>
      <c r="D2489" t="s">
        <v>7849</v>
      </c>
      <c r="E2489" t="s">
        <v>7885</v>
      </c>
      <c r="F2489" t="s">
        <v>7886</v>
      </c>
    </row>
    <row r="2490" spans="1:6" x14ac:dyDescent="0.25">
      <c r="A2490" t="s">
        <v>1677</v>
      </c>
      <c r="B2490" t="str">
        <f>"20094199      "</f>
        <v xml:space="preserve">20094199      </v>
      </c>
      <c r="C2490" t="s">
        <v>7852</v>
      </c>
      <c r="D2490" t="s">
        <v>7852</v>
      </c>
      <c r="E2490" t="s">
        <v>7887</v>
      </c>
      <c r="F2490" t="s">
        <v>7888</v>
      </c>
    </row>
    <row r="2491" spans="1:6" x14ac:dyDescent="0.25">
      <c r="A2491" t="s">
        <v>1677</v>
      </c>
      <c r="B2491" t="str">
        <f>"20094911      "</f>
        <v xml:space="preserve">20094911      </v>
      </c>
      <c r="C2491" t="s">
        <v>7817</v>
      </c>
      <c r="D2491" t="s">
        <v>7817</v>
      </c>
      <c r="E2491" t="s">
        <v>7889</v>
      </c>
      <c r="F2491" t="s">
        <v>7890</v>
      </c>
    </row>
    <row r="2492" spans="1:6" x14ac:dyDescent="0.25">
      <c r="A2492" t="s">
        <v>1677</v>
      </c>
      <c r="B2492" t="str">
        <f>"20094919      "</f>
        <v xml:space="preserve">20094919      </v>
      </c>
      <c r="C2492" t="s">
        <v>6746</v>
      </c>
      <c r="D2492" t="s">
        <v>6746</v>
      </c>
      <c r="E2492" t="s">
        <v>7891</v>
      </c>
      <c r="F2492" t="s">
        <v>7892</v>
      </c>
    </row>
    <row r="2493" spans="1:6" x14ac:dyDescent="0.25">
      <c r="A2493" t="s">
        <v>1677</v>
      </c>
      <c r="B2493" t="str">
        <f>"20094930      "</f>
        <v xml:space="preserve">20094930      </v>
      </c>
      <c r="C2493" t="s">
        <v>7893</v>
      </c>
      <c r="D2493" t="s">
        <v>7893</v>
      </c>
      <c r="E2493" t="s">
        <v>7894</v>
      </c>
      <c r="F2493" t="s">
        <v>7895</v>
      </c>
    </row>
    <row r="2494" spans="1:6" x14ac:dyDescent="0.25">
      <c r="A2494" t="s">
        <v>1677</v>
      </c>
      <c r="B2494" t="str">
        <f>"20094991      "</f>
        <v xml:space="preserve">20094991      </v>
      </c>
      <c r="C2494" t="s">
        <v>7871</v>
      </c>
      <c r="D2494" t="s">
        <v>7871</v>
      </c>
      <c r="E2494" t="s">
        <v>7896</v>
      </c>
      <c r="F2494" t="s">
        <v>7897</v>
      </c>
    </row>
    <row r="2495" spans="1:6" x14ac:dyDescent="0.25">
      <c r="A2495" t="s">
        <v>1677</v>
      </c>
      <c r="B2495" t="str">
        <f>"20094993      "</f>
        <v xml:space="preserve">20094993      </v>
      </c>
      <c r="C2495" t="s">
        <v>7874</v>
      </c>
      <c r="D2495" t="s">
        <v>7874</v>
      </c>
      <c r="E2495" t="s">
        <v>7898</v>
      </c>
      <c r="F2495" t="s">
        <v>7899</v>
      </c>
    </row>
    <row r="2496" spans="1:6" x14ac:dyDescent="0.25">
      <c r="A2496" t="s">
        <v>1677</v>
      </c>
      <c r="B2496" t="str">
        <f>"20094999      "</f>
        <v xml:space="preserve">20094999      </v>
      </c>
      <c r="C2496" t="s">
        <v>7852</v>
      </c>
      <c r="D2496" t="s">
        <v>7852</v>
      </c>
      <c r="E2496" t="s">
        <v>7900</v>
      </c>
      <c r="F2496" t="s">
        <v>7901</v>
      </c>
    </row>
    <row r="2497" spans="1:6" x14ac:dyDescent="0.25">
      <c r="A2497" t="s">
        <v>1677</v>
      </c>
      <c r="B2497" t="str">
        <f>"20095010      "</f>
        <v xml:space="preserve">20095010      </v>
      </c>
      <c r="C2497" t="s">
        <v>7849</v>
      </c>
      <c r="D2497" t="s">
        <v>7849</v>
      </c>
      <c r="E2497" t="s">
        <v>7902</v>
      </c>
      <c r="F2497" t="s">
        <v>7903</v>
      </c>
    </row>
    <row r="2498" spans="1:6" x14ac:dyDescent="0.25">
      <c r="A2498" t="s">
        <v>1677</v>
      </c>
      <c r="B2498" t="str">
        <f>"20095090      "</f>
        <v xml:space="preserve">20095090      </v>
      </c>
      <c r="C2498" t="s">
        <v>6746</v>
      </c>
      <c r="D2498" t="s">
        <v>6746</v>
      </c>
      <c r="E2498" t="s">
        <v>7904</v>
      </c>
      <c r="F2498" t="s">
        <v>7905</v>
      </c>
    </row>
    <row r="2499" spans="1:6" x14ac:dyDescent="0.25">
      <c r="A2499" t="s">
        <v>1677</v>
      </c>
      <c r="B2499" t="str">
        <f>"20096110      "</f>
        <v xml:space="preserve">20096110      </v>
      </c>
      <c r="C2499" t="s">
        <v>7906</v>
      </c>
      <c r="D2499" t="s">
        <v>7906</v>
      </c>
      <c r="E2499" t="s">
        <v>7907</v>
      </c>
      <c r="F2499" t="s">
        <v>7908</v>
      </c>
    </row>
    <row r="2500" spans="1:6" x14ac:dyDescent="0.25">
      <c r="A2500" t="s">
        <v>1677</v>
      </c>
      <c r="B2500" t="str">
        <f>"20096190      "</f>
        <v xml:space="preserve">20096190      </v>
      </c>
      <c r="C2500" t="s">
        <v>7909</v>
      </c>
      <c r="D2500" t="s">
        <v>7909</v>
      </c>
      <c r="E2500" t="s">
        <v>7910</v>
      </c>
      <c r="F2500" t="s">
        <v>7911</v>
      </c>
    </row>
    <row r="2501" spans="1:6" x14ac:dyDescent="0.25">
      <c r="A2501" t="s">
        <v>1677</v>
      </c>
      <c r="B2501" t="str">
        <f>"20096911      "</f>
        <v xml:space="preserve">20096911      </v>
      </c>
      <c r="C2501" t="s">
        <v>7912</v>
      </c>
      <c r="D2501" t="s">
        <v>7912</v>
      </c>
      <c r="E2501" t="s">
        <v>7913</v>
      </c>
      <c r="F2501" t="s">
        <v>7914</v>
      </c>
    </row>
    <row r="2502" spans="1:6" x14ac:dyDescent="0.25">
      <c r="A2502" t="s">
        <v>1677</v>
      </c>
      <c r="B2502" t="str">
        <f>"20096919      "</f>
        <v xml:space="preserve">20096919      </v>
      </c>
      <c r="C2502" t="s">
        <v>6746</v>
      </c>
      <c r="D2502" t="s">
        <v>6746</v>
      </c>
      <c r="E2502" t="s">
        <v>7915</v>
      </c>
      <c r="F2502" t="s">
        <v>7916</v>
      </c>
    </row>
    <row r="2503" spans="1:6" x14ac:dyDescent="0.25">
      <c r="A2503" t="s">
        <v>1677</v>
      </c>
      <c r="B2503" t="str">
        <f>"20096951      "</f>
        <v xml:space="preserve">20096951      </v>
      </c>
      <c r="C2503" t="s">
        <v>7917</v>
      </c>
      <c r="D2503" t="s">
        <v>7917</v>
      </c>
      <c r="E2503" t="s">
        <v>7918</v>
      </c>
      <c r="F2503" t="s">
        <v>7919</v>
      </c>
    </row>
    <row r="2504" spans="1:6" x14ac:dyDescent="0.25">
      <c r="A2504" t="s">
        <v>1677</v>
      </c>
      <c r="B2504" t="str">
        <f>"20096959      "</f>
        <v xml:space="preserve">20096959      </v>
      </c>
      <c r="C2504" t="s">
        <v>6746</v>
      </c>
      <c r="D2504" t="s">
        <v>6746</v>
      </c>
      <c r="E2504" t="s">
        <v>7920</v>
      </c>
      <c r="F2504" t="s">
        <v>7921</v>
      </c>
    </row>
    <row r="2505" spans="1:6" x14ac:dyDescent="0.25">
      <c r="A2505" t="s">
        <v>1677</v>
      </c>
      <c r="B2505" t="str">
        <f>"20096971      "</f>
        <v xml:space="preserve">20096971      </v>
      </c>
      <c r="C2505" t="s">
        <v>7917</v>
      </c>
      <c r="D2505" t="s">
        <v>7917</v>
      </c>
      <c r="E2505" t="s">
        <v>7922</v>
      </c>
      <c r="F2505" t="s">
        <v>7923</v>
      </c>
    </row>
    <row r="2506" spans="1:6" x14ac:dyDescent="0.25">
      <c r="A2506" t="s">
        <v>1677</v>
      </c>
      <c r="B2506" t="str">
        <f>"20096979      "</f>
        <v xml:space="preserve">20096979      </v>
      </c>
      <c r="C2506" t="s">
        <v>6746</v>
      </c>
      <c r="D2506" t="s">
        <v>6746</v>
      </c>
      <c r="E2506" t="s">
        <v>7924</v>
      </c>
      <c r="F2506" t="s">
        <v>7925</v>
      </c>
    </row>
    <row r="2507" spans="1:6" x14ac:dyDescent="0.25">
      <c r="A2507" t="s">
        <v>1677</v>
      </c>
      <c r="B2507" t="str">
        <f>"20096990      "</f>
        <v xml:space="preserve">20096990      </v>
      </c>
      <c r="C2507" t="s">
        <v>6746</v>
      </c>
      <c r="D2507" t="s">
        <v>6746</v>
      </c>
      <c r="E2507" t="s">
        <v>7926</v>
      </c>
      <c r="F2507" t="s">
        <v>7927</v>
      </c>
    </row>
    <row r="2508" spans="1:6" x14ac:dyDescent="0.25">
      <c r="A2508" t="s">
        <v>1677</v>
      </c>
      <c r="B2508" t="str">
        <f>"20097120      "</f>
        <v xml:space="preserve">20097120      </v>
      </c>
      <c r="C2508" t="s">
        <v>7849</v>
      </c>
      <c r="D2508" t="s">
        <v>7849</v>
      </c>
      <c r="E2508" t="s">
        <v>7928</v>
      </c>
      <c r="F2508" t="s">
        <v>7929</v>
      </c>
    </row>
    <row r="2509" spans="1:6" x14ac:dyDescent="0.25">
      <c r="A2509" t="s">
        <v>1677</v>
      </c>
      <c r="B2509" t="str">
        <f>"20097199      "</f>
        <v xml:space="preserve">20097199      </v>
      </c>
      <c r="C2509" t="s">
        <v>7852</v>
      </c>
      <c r="D2509" t="s">
        <v>7852</v>
      </c>
      <c r="E2509" t="s">
        <v>7930</v>
      </c>
      <c r="F2509" t="s">
        <v>7931</v>
      </c>
    </row>
    <row r="2510" spans="1:6" x14ac:dyDescent="0.25">
      <c r="A2510" t="s">
        <v>1677</v>
      </c>
      <c r="B2510" t="str">
        <f>"20097911      "</f>
        <v xml:space="preserve">20097911      </v>
      </c>
      <c r="C2510" t="s">
        <v>7912</v>
      </c>
      <c r="D2510" t="s">
        <v>7912</v>
      </c>
      <c r="E2510" t="s">
        <v>7932</v>
      </c>
      <c r="F2510" t="s">
        <v>7933</v>
      </c>
    </row>
    <row r="2511" spans="1:6" x14ac:dyDescent="0.25">
      <c r="A2511" t="s">
        <v>1677</v>
      </c>
      <c r="B2511" t="str">
        <f>"20097919      "</f>
        <v xml:space="preserve">20097919      </v>
      </c>
      <c r="C2511" t="s">
        <v>6746</v>
      </c>
      <c r="D2511" t="s">
        <v>6746</v>
      </c>
      <c r="E2511" t="s">
        <v>7934</v>
      </c>
      <c r="F2511" t="s">
        <v>7935</v>
      </c>
    </row>
    <row r="2512" spans="1:6" x14ac:dyDescent="0.25">
      <c r="A2512" t="s">
        <v>1677</v>
      </c>
      <c r="B2512" t="str">
        <f>"20097930      "</f>
        <v xml:space="preserve">20097930      </v>
      </c>
      <c r="C2512" t="s">
        <v>7936</v>
      </c>
      <c r="D2512" t="s">
        <v>7936</v>
      </c>
      <c r="E2512" t="s">
        <v>7937</v>
      </c>
      <c r="F2512" t="s">
        <v>7938</v>
      </c>
    </row>
    <row r="2513" spans="1:6" x14ac:dyDescent="0.25">
      <c r="A2513" t="s">
        <v>1677</v>
      </c>
      <c r="B2513" t="str">
        <f>"20097991      "</f>
        <v xml:space="preserve">20097991      </v>
      </c>
      <c r="C2513" t="s">
        <v>7871</v>
      </c>
      <c r="D2513" t="s">
        <v>7871</v>
      </c>
      <c r="E2513" t="s">
        <v>7939</v>
      </c>
      <c r="F2513" t="s">
        <v>7940</v>
      </c>
    </row>
    <row r="2514" spans="1:6" x14ac:dyDescent="0.25">
      <c r="A2514" t="s">
        <v>1677</v>
      </c>
      <c r="B2514" t="str">
        <f>"20097998      "</f>
        <v xml:space="preserve">20097998      </v>
      </c>
      <c r="C2514" t="s">
        <v>6746</v>
      </c>
      <c r="D2514" t="s">
        <v>6746</v>
      </c>
      <c r="E2514" t="s">
        <v>7941</v>
      </c>
      <c r="F2514" t="s">
        <v>7942</v>
      </c>
    </row>
    <row r="2515" spans="1:6" x14ac:dyDescent="0.25">
      <c r="A2515" t="s">
        <v>1677</v>
      </c>
      <c r="B2515" t="str">
        <f>"20098111      "</f>
        <v xml:space="preserve">20098111      </v>
      </c>
      <c r="C2515" t="s">
        <v>7817</v>
      </c>
      <c r="D2515" t="s">
        <v>7817</v>
      </c>
      <c r="E2515" t="s">
        <v>7943</v>
      </c>
      <c r="F2515" t="s">
        <v>7944</v>
      </c>
    </row>
    <row r="2516" spans="1:6" x14ac:dyDescent="0.25">
      <c r="A2516" t="s">
        <v>1677</v>
      </c>
      <c r="B2516" t="str">
        <f>"20098119      "</f>
        <v xml:space="preserve">20098119      </v>
      </c>
      <c r="C2516" t="s">
        <v>6746</v>
      </c>
      <c r="D2516" t="s">
        <v>6746</v>
      </c>
      <c r="E2516" t="s">
        <v>7945</v>
      </c>
      <c r="F2516" t="s">
        <v>7946</v>
      </c>
    </row>
    <row r="2517" spans="1:6" x14ac:dyDescent="0.25">
      <c r="A2517" t="s">
        <v>1677</v>
      </c>
      <c r="B2517" t="str">
        <f>"20098131      "</f>
        <v xml:space="preserve">20098131      </v>
      </c>
      <c r="C2517" t="s">
        <v>7893</v>
      </c>
      <c r="D2517" t="s">
        <v>7893</v>
      </c>
      <c r="E2517" t="s">
        <v>7947</v>
      </c>
      <c r="F2517" t="s">
        <v>7948</v>
      </c>
    </row>
    <row r="2518" spans="1:6" x14ac:dyDescent="0.25">
      <c r="A2518" t="s">
        <v>1677</v>
      </c>
      <c r="B2518" t="str">
        <f>"20098151      "</f>
        <v xml:space="preserve">20098151      </v>
      </c>
      <c r="C2518" t="s">
        <v>7871</v>
      </c>
      <c r="D2518" t="s">
        <v>7871</v>
      </c>
      <c r="E2518" t="s">
        <v>7949</v>
      </c>
      <c r="F2518" t="s">
        <v>7950</v>
      </c>
    </row>
    <row r="2519" spans="1:6" x14ac:dyDescent="0.25">
      <c r="A2519" t="s">
        <v>1677</v>
      </c>
      <c r="B2519" t="str">
        <f>"20098159      "</f>
        <v xml:space="preserve">20098159      </v>
      </c>
      <c r="C2519" t="s">
        <v>7874</v>
      </c>
      <c r="D2519" t="s">
        <v>7874</v>
      </c>
      <c r="E2519" t="s">
        <v>7951</v>
      </c>
      <c r="F2519" t="s">
        <v>7952</v>
      </c>
    </row>
    <row r="2520" spans="1:6" x14ac:dyDescent="0.25">
      <c r="A2520" t="s">
        <v>1677</v>
      </c>
      <c r="B2520" t="str">
        <f>"20098195      "</f>
        <v xml:space="preserve">20098195      </v>
      </c>
      <c r="C2520" t="s">
        <v>7953</v>
      </c>
      <c r="D2520" t="s">
        <v>7953</v>
      </c>
      <c r="E2520" t="s">
        <v>7954</v>
      </c>
      <c r="F2520" t="s">
        <v>7955</v>
      </c>
    </row>
    <row r="2521" spans="1:6" x14ac:dyDescent="0.25">
      <c r="A2521" t="s">
        <v>1677</v>
      </c>
      <c r="B2521" t="str">
        <f>"20098199      "</f>
        <v xml:space="preserve">20098199      </v>
      </c>
      <c r="C2521" t="s">
        <v>6746</v>
      </c>
      <c r="D2521" t="s">
        <v>6746</v>
      </c>
      <c r="E2521" t="s">
        <v>7956</v>
      </c>
      <c r="F2521" t="s">
        <v>7957</v>
      </c>
    </row>
    <row r="2522" spans="1:6" x14ac:dyDescent="0.25">
      <c r="A2522" t="s">
        <v>1677</v>
      </c>
      <c r="B2522" t="str">
        <f>"20098911      "</f>
        <v xml:space="preserve">20098911      </v>
      </c>
      <c r="C2522" t="s">
        <v>7912</v>
      </c>
      <c r="D2522" t="s">
        <v>7912</v>
      </c>
      <c r="E2522" t="s">
        <v>7958</v>
      </c>
      <c r="F2522" t="s">
        <v>7959</v>
      </c>
    </row>
    <row r="2523" spans="1:6" x14ac:dyDescent="0.25">
      <c r="A2523" t="s">
        <v>1677</v>
      </c>
      <c r="B2523" t="str">
        <f>"20098919      "</f>
        <v xml:space="preserve">20098919      </v>
      </c>
      <c r="C2523" t="s">
        <v>6746</v>
      </c>
      <c r="D2523" t="s">
        <v>6746</v>
      </c>
      <c r="E2523" t="s">
        <v>7960</v>
      </c>
      <c r="F2523" t="s">
        <v>7961</v>
      </c>
    </row>
    <row r="2524" spans="1:6" x14ac:dyDescent="0.25">
      <c r="A2524" t="s">
        <v>1677</v>
      </c>
      <c r="B2524" t="str">
        <f>"20098934      "</f>
        <v xml:space="preserve">20098934      </v>
      </c>
      <c r="C2524" t="s">
        <v>7962</v>
      </c>
      <c r="D2524" t="s">
        <v>7962</v>
      </c>
      <c r="E2524" t="s">
        <v>7963</v>
      </c>
      <c r="F2524" t="s">
        <v>7964</v>
      </c>
    </row>
    <row r="2525" spans="1:6" x14ac:dyDescent="0.25">
      <c r="A2525" t="s">
        <v>1677</v>
      </c>
      <c r="B2525" t="str">
        <f>"20098935      "</f>
        <v xml:space="preserve">20098935      </v>
      </c>
      <c r="C2525" t="s">
        <v>6746</v>
      </c>
      <c r="D2525" t="s">
        <v>6746</v>
      </c>
      <c r="E2525" t="s">
        <v>7965</v>
      </c>
      <c r="F2525" t="s">
        <v>7966</v>
      </c>
    </row>
    <row r="2526" spans="1:6" x14ac:dyDescent="0.25">
      <c r="A2526" t="s">
        <v>1677</v>
      </c>
      <c r="B2526" t="str">
        <f>"20098936      "</f>
        <v xml:space="preserve">20098936      </v>
      </c>
      <c r="C2526" t="s">
        <v>7962</v>
      </c>
      <c r="D2526" t="s">
        <v>7962</v>
      </c>
      <c r="E2526" t="s">
        <v>7967</v>
      </c>
      <c r="F2526" t="s">
        <v>7968</v>
      </c>
    </row>
    <row r="2527" spans="1:6" x14ac:dyDescent="0.25">
      <c r="A2527" t="s">
        <v>1677</v>
      </c>
      <c r="B2527" t="str">
        <f>"20098938      "</f>
        <v xml:space="preserve">20098938      </v>
      </c>
      <c r="C2527" t="s">
        <v>6746</v>
      </c>
      <c r="D2527" t="s">
        <v>6746</v>
      </c>
      <c r="E2527" t="s">
        <v>7969</v>
      </c>
      <c r="F2527" t="s">
        <v>7970</v>
      </c>
    </row>
    <row r="2528" spans="1:6" x14ac:dyDescent="0.25">
      <c r="A2528" t="s">
        <v>1677</v>
      </c>
      <c r="B2528" t="str">
        <f>"20098950      "</f>
        <v xml:space="preserve">20098950      </v>
      </c>
      <c r="C2528" t="s">
        <v>7936</v>
      </c>
      <c r="D2528" t="s">
        <v>7936</v>
      </c>
      <c r="E2528" t="s">
        <v>7971</v>
      </c>
      <c r="F2528" t="s">
        <v>7972</v>
      </c>
    </row>
    <row r="2529" spans="1:6" x14ac:dyDescent="0.25">
      <c r="A2529" t="s">
        <v>1677</v>
      </c>
      <c r="B2529" t="str">
        <f>"20098961      "</f>
        <v xml:space="preserve">20098961      </v>
      </c>
      <c r="C2529" t="s">
        <v>7871</v>
      </c>
      <c r="D2529" t="s">
        <v>7871</v>
      </c>
      <c r="E2529" t="s">
        <v>7973</v>
      </c>
      <c r="F2529" t="s">
        <v>7974</v>
      </c>
    </row>
    <row r="2530" spans="1:6" x14ac:dyDescent="0.25">
      <c r="A2530" t="s">
        <v>1677</v>
      </c>
      <c r="B2530" t="str">
        <f>"20098963      "</f>
        <v xml:space="preserve">20098963      </v>
      </c>
      <c r="C2530" t="s">
        <v>7874</v>
      </c>
      <c r="D2530" t="s">
        <v>7874</v>
      </c>
      <c r="E2530" t="s">
        <v>7975</v>
      </c>
      <c r="F2530" t="s">
        <v>7976</v>
      </c>
    </row>
    <row r="2531" spans="1:6" x14ac:dyDescent="0.25">
      <c r="A2531" t="s">
        <v>1677</v>
      </c>
      <c r="B2531" t="str">
        <f>"20098969      "</f>
        <v xml:space="preserve">20098969      </v>
      </c>
      <c r="C2531" t="s">
        <v>7852</v>
      </c>
      <c r="D2531" t="s">
        <v>7852</v>
      </c>
      <c r="E2531" t="s">
        <v>7977</v>
      </c>
      <c r="F2531" t="s">
        <v>7978</v>
      </c>
    </row>
    <row r="2532" spans="1:6" x14ac:dyDescent="0.25">
      <c r="A2532" t="s">
        <v>1677</v>
      </c>
      <c r="B2532" t="str">
        <f>"20098971      "</f>
        <v xml:space="preserve">20098971      </v>
      </c>
      <c r="C2532" t="s">
        <v>7979</v>
      </c>
      <c r="D2532" t="s">
        <v>7979</v>
      </c>
      <c r="E2532" t="s">
        <v>7980</v>
      </c>
      <c r="F2532" t="s">
        <v>7981</v>
      </c>
    </row>
    <row r="2533" spans="1:6" x14ac:dyDescent="0.25">
      <c r="A2533" t="s">
        <v>1677</v>
      </c>
      <c r="B2533" t="str">
        <f>"20098973      "</f>
        <v xml:space="preserve">20098973      </v>
      </c>
      <c r="C2533" t="s">
        <v>7962</v>
      </c>
      <c r="D2533" t="s">
        <v>7962</v>
      </c>
      <c r="E2533" t="s">
        <v>7982</v>
      </c>
      <c r="F2533" t="s">
        <v>7983</v>
      </c>
    </row>
    <row r="2534" spans="1:6" x14ac:dyDescent="0.25">
      <c r="A2534" t="s">
        <v>1677</v>
      </c>
      <c r="B2534" t="str">
        <f>"20098979      "</f>
        <v xml:space="preserve">20098979      </v>
      </c>
      <c r="C2534" t="s">
        <v>6746</v>
      </c>
      <c r="D2534" t="s">
        <v>6746</v>
      </c>
      <c r="E2534" t="s">
        <v>7984</v>
      </c>
      <c r="F2534" t="s">
        <v>7985</v>
      </c>
    </row>
    <row r="2535" spans="1:6" x14ac:dyDescent="0.25">
      <c r="A2535" t="s">
        <v>1677</v>
      </c>
      <c r="B2535" t="str">
        <f>"20098985      "</f>
        <v xml:space="preserve">20098985      </v>
      </c>
      <c r="C2535" t="s">
        <v>7962</v>
      </c>
      <c r="D2535" t="s">
        <v>7962</v>
      </c>
      <c r="E2535" t="s">
        <v>7986</v>
      </c>
      <c r="F2535" t="s">
        <v>7987</v>
      </c>
    </row>
    <row r="2536" spans="1:6" x14ac:dyDescent="0.25">
      <c r="A2536" t="s">
        <v>1677</v>
      </c>
      <c r="B2536" t="str">
        <f>"20098986      "</f>
        <v xml:space="preserve">20098986      </v>
      </c>
      <c r="C2536" t="s">
        <v>6746</v>
      </c>
      <c r="D2536" t="s">
        <v>6746</v>
      </c>
      <c r="E2536" t="s">
        <v>7988</v>
      </c>
      <c r="F2536" t="s">
        <v>7989</v>
      </c>
    </row>
    <row r="2537" spans="1:6" x14ac:dyDescent="0.25">
      <c r="A2537" t="s">
        <v>1677</v>
      </c>
      <c r="B2537" t="str">
        <f>"20098988      "</f>
        <v xml:space="preserve">20098988      </v>
      </c>
      <c r="C2537" t="s">
        <v>7962</v>
      </c>
      <c r="D2537" t="s">
        <v>7962</v>
      </c>
      <c r="E2537" t="s">
        <v>7990</v>
      </c>
      <c r="F2537" t="s">
        <v>7991</v>
      </c>
    </row>
    <row r="2538" spans="1:6" x14ac:dyDescent="0.25">
      <c r="A2538" t="s">
        <v>1677</v>
      </c>
      <c r="B2538" t="str">
        <f>"20098989      "</f>
        <v xml:space="preserve">20098989      </v>
      </c>
      <c r="C2538" t="s">
        <v>6746</v>
      </c>
      <c r="D2538" t="s">
        <v>6746</v>
      </c>
      <c r="E2538" t="s">
        <v>7992</v>
      </c>
      <c r="F2538" t="s">
        <v>7993</v>
      </c>
    </row>
    <row r="2539" spans="1:6" x14ac:dyDescent="0.25">
      <c r="A2539" t="s">
        <v>1677</v>
      </c>
      <c r="B2539" t="str">
        <f>"20098996      "</f>
        <v xml:space="preserve">20098996      </v>
      </c>
      <c r="C2539" t="s">
        <v>7979</v>
      </c>
      <c r="D2539" t="s">
        <v>7979</v>
      </c>
      <c r="E2539" t="s">
        <v>7994</v>
      </c>
      <c r="F2539" t="s">
        <v>7995</v>
      </c>
    </row>
    <row r="2540" spans="1:6" x14ac:dyDescent="0.25">
      <c r="A2540" t="s">
        <v>1677</v>
      </c>
      <c r="B2540" t="str">
        <f>"20098997      "</f>
        <v xml:space="preserve">20098997      </v>
      </c>
      <c r="C2540" t="s">
        <v>7962</v>
      </c>
      <c r="D2540" t="s">
        <v>7962</v>
      </c>
      <c r="E2540" t="s">
        <v>7996</v>
      </c>
      <c r="F2540" t="s">
        <v>7997</v>
      </c>
    </row>
    <row r="2541" spans="1:6" x14ac:dyDescent="0.25">
      <c r="A2541" t="s">
        <v>1677</v>
      </c>
      <c r="B2541" t="str">
        <f>"20098999      "</f>
        <v xml:space="preserve">20098999      </v>
      </c>
      <c r="C2541" t="s">
        <v>6746</v>
      </c>
      <c r="D2541" t="s">
        <v>6746</v>
      </c>
      <c r="E2541" t="s">
        <v>7998</v>
      </c>
      <c r="F2541" t="s">
        <v>7999</v>
      </c>
    </row>
    <row r="2542" spans="1:6" x14ac:dyDescent="0.25">
      <c r="A2542" t="s">
        <v>1677</v>
      </c>
      <c r="B2542" t="str">
        <f>"20099011      "</f>
        <v xml:space="preserve">20099011      </v>
      </c>
      <c r="C2542" t="s">
        <v>7912</v>
      </c>
      <c r="D2542" t="s">
        <v>7912</v>
      </c>
      <c r="E2542" t="s">
        <v>8000</v>
      </c>
      <c r="F2542" t="s">
        <v>8001</v>
      </c>
    </row>
    <row r="2543" spans="1:6" x14ac:dyDescent="0.25">
      <c r="A2543" t="s">
        <v>1677</v>
      </c>
      <c r="B2543" t="str">
        <f>"20099019      "</f>
        <v xml:space="preserve">20099019      </v>
      </c>
      <c r="C2543" t="s">
        <v>6775</v>
      </c>
      <c r="D2543" t="s">
        <v>6775</v>
      </c>
      <c r="E2543" t="s">
        <v>8002</v>
      </c>
      <c r="F2543" t="s">
        <v>8003</v>
      </c>
    </row>
    <row r="2544" spans="1:6" x14ac:dyDescent="0.25">
      <c r="A2544" t="s">
        <v>1677</v>
      </c>
      <c r="B2544" t="str">
        <f>"20099021      "</f>
        <v xml:space="preserve">20099021      </v>
      </c>
      <c r="C2544" t="s">
        <v>7817</v>
      </c>
      <c r="D2544" t="s">
        <v>7817</v>
      </c>
      <c r="E2544" t="s">
        <v>8004</v>
      </c>
      <c r="F2544" t="s">
        <v>8005</v>
      </c>
    </row>
    <row r="2545" spans="1:6" x14ac:dyDescent="0.25">
      <c r="A2545" t="s">
        <v>1677</v>
      </c>
      <c r="B2545" t="str">
        <f>"20099029      "</f>
        <v xml:space="preserve">20099029      </v>
      </c>
      <c r="C2545" t="s">
        <v>6775</v>
      </c>
      <c r="D2545" t="s">
        <v>6775</v>
      </c>
      <c r="E2545" t="s">
        <v>8006</v>
      </c>
      <c r="F2545" t="s">
        <v>8007</v>
      </c>
    </row>
    <row r="2546" spans="1:6" x14ac:dyDescent="0.25">
      <c r="A2546" t="s">
        <v>1677</v>
      </c>
      <c r="B2546" t="str">
        <f>"20099031      "</f>
        <v xml:space="preserve">20099031      </v>
      </c>
      <c r="C2546" t="s">
        <v>8008</v>
      </c>
      <c r="D2546" t="s">
        <v>8008</v>
      </c>
      <c r="E2546" t="s">
        <v>8009</v>
      </c>
      <c r="F2546" t="s">
        <v>8010</v>
      </c>
    </row>
    <row r="2547" spans="1:6" x14ac:dyDescent="0.25">
      <c r="A2547" t="s">
        <v>1677</v>
      </c>
      <c r="B2547" t="str">
        <f>"20099039      "</f>
        <v xml:space="preserve">20099039      </v>
      </c>
      <c r="C2547" t="s">
        <v>6775</v>
      </c>
      <c r="D2547" t="s">
        <v>6775</v>
      </c>
      <c r="E2547" t="s">
        <v>8011</v>
      </c>
      <c r="F2547" t="s">
        <v>8012</v>
      </c>
    </row>
    <row r="2548" spans="1:6" x14ac:dyDescent="0.25">
      <c r="A2548" t="s">
        <v>1677</v>
      </c>
      <c r="B2548" t="str">
        <f>"20099041      "</f>
        <v xml:space="preserve">20099041      </v>
      </c>
      <c r="C2548" t="s">
        <v>7849</v>
      </c>
      <c r="D2548" t="s">
        <v>7849</v>
      </c>
      <c r="E2548" t="s">
        <v>8013</v>
      </c>
      <c r="F2548" t="s">
        <v>8014</v>
      </c>
    </row>
    <row r="2549" spans="1:6" x14ac:dyDescent="0.25">
      <c r="A2549" t="s">
        <v>1677</v>
      </c>
      <c r="B2549" t="str">
        <f>"20099049      "</f>
        <v xml:space="preserve">20099049      </v>
      </c>
      <c r="C2549" t="s">
        <v>6775</v>
      </c>
      <c r="D2549" t="s">
        <v>6775</v>
      </c>
      <c r="E2549" t="s">
        <v>8015</v>
      </c>
      <c r="F2549" t="s">
        <v>8016</v>
      </c>
    </row>
    <row r="2550" spans="1:6" x14ac:dyDescent="0.25">
      <c r="A2550" t="s">
        <v>1677</v>
      </c>
      <c r="B2550" t="str">
        <f>"20099051      "</f>
        <v xml:space="preserve">20099051      </v>
      </c>
      <c r="C2550" t="s">
        <v>7849</v>
      </c>
      <c r="D2550" t="s">
        <v>7849</v>
      </c>
      <c r="E2550" t="s">
        <v>8017</v>
      </c>
      <c r="F2550" t="s">
        <v>8018</v>
      </c>
    </row>
    <row r="2551" spans="1:6" x14ac:dyDescent="0.25">
      <c r="A2551" t="s">
        <v>1677</v>
      </c>
      <c r="B2551" t="str">
        <f>"20099059      "</f>
        <v xml:space="preserve">20099059      </v>
      </c>
      <c r="C2551" t="s">
        <v>6775</v>
      </c>
      <c r="D2551" t="s">
        <v>6775</v>
      </c>
      <c r="E2551" t="s">
        <v>8019</v>
      </c>
      <c r="F2551" t="s">
        <v>8020</v>
      </c>
    </row>
    <row r="2552" spans="1:6" x14ac:dyDescent="0.25">
      <c r="A2552" t="s">
        <v>1677</v>
      </c>
      <c r="B2552" t="str">
        <f>"20099071      "</f>
        <v xml:space="preserve">20099071      </v>
      </c>
      <c r="C2552" t="s">
        <v>7871</v>
      </c>
      <c r="D2552" t="s">
        <v>7871</v>
      </c>
      <c r="E2552" t="s">
        <v>8021</v>
      </c>
      <c r="F2552" t="s">
        <v>8022</v>
      </c>
    </row>
    <row r="2553" spans="1:6" x14ac:dyDescent="0.25">
      <c r="A2553" t="s">
        <v>1677</v>
      </c>
      <c r="B2553" t="str">
        <f>"20099073      "</f>
        <v xml:space="preserve">20099073      </v>
      </c>
      <c r="C2553" t="s">
        <v>7874</v>
      </c>
      <c r="D2553" t="s">
        <v>7874</v>
      </c>
      <c r="E2553" t="s">
        <v>8023</v>
      </c>
      <c r="F2553" t="s">
        <v>8024</v>
      </c>
    </row>
    <row r="2554" spans="1:6" x14ac:dyDescent="0.25">
      <c r="A2554" t="s">
        <v>1677</v>
      </c>
      <c r="B2554" t="str">
        <f>"20099079      "</f>
        <v xml:space="preserve">20099079      </v>
      </c>
      <c r="C2554" t="s">
        <v>7852</v>
      </c>
      <c r="D2554" t="s">
        <v>7852</v>
      </c>
      <c r="E2554" t="s">
        <v>8025</v>
      </c>
      <c r="F2554" t="s">
        <v>8026</v>
      </c>
    </row>
    <row r="2555" spans="1:6" x14ac:dyDescent="0.25">
      <c r="A2555" t="s">
        <v>1677</v>
      </c>
      <c r="B2555" t="str">
        <f>"20099092      "</f>
        <v xml:space="preserve">20099092      </v>
      </c>
      <c r="C2555" t="s">
        <v>8027</v>
      </c>
      <c r="D2555" t="s">
        <v>8027</v>
      </c>
      <c r="E2555" t="s">
        <v>8028</v>
      </c>
      <c r="F2555" t="s">
        <v>8029</v>
      </c>
    </row>
    <row r="2556" spans="1:6" x14ac:dyDescent="0.25">
      <c r="A2556" t="s">
        <v>1677</v>
      </c>
      <c r="B2556" t="str">
        <f>"20099094      "</f>
        <v xml:space="preserve">20099094      </v>
      </c>
      <c r="C2556" t="s">
        <v>6775</v>
      </c>
      <c r="D2556" t="s">
        <v>6775</v>
      </c>
      <c r="E2556" t="s">
        <v>8030</v>
      </c>
      <c r="F2556" t="s">
        <v>8031</v>
      </c>
    </row>
    <row r="2557" spans="1:6" x14ac:dyDescent="0.25">
      <c r="A2557" t="s">
        <v>1677</v>
      </c>
      <c r="B2557" t="str">
        <f>"20099095      "</f>
        <v xml:space="preserve">20099095      </v>
      </c>
      <c r="C2557" t="s">
        <v>8027</v>
      </c>
      <c r="D2557" t="s">
        <v>8027</v>
      </c>
      <c r="E2557" t="s">
        <v>8032</v>
      </c>
      <c r="F2557" t="s">
        <v>8033</v>
      </c>
    </row>
    <row r="2558" spans="1:6" x14ac:dyDescent="0.25">
      <c r="A2558" t="s">
        <v>1677</v>
      </c>
      <c r="B2558" t="str">
        <f>"20099096      "</f>
        <v xml:space="preserve">20099096      </v>
      </c>
      <c r="C2558" t="s">
        <v>6775</v>
      </c>
      <c r="D2558" t="s">
        <v>6775</v>
      </c>
      <c r="E2558" t="s">
        <v>8034</v>
      </c>
      <c r="F2558" t="s">
        <v>8035</v>
      </c>
    </row>
    <row r="2559" spans="1:6" x14ac:dyDescent="0.25">
      <c r="A2559" t="s">
        <v>1677</v>
      </c>
      <c r="B2559" t="str">
        <f>"20099097      "</f>
        <v xml:space="preserve">20099097      </v>
      </c>
      <c r="C2559" t="s">
        <v>8027</v>
      </c>
      <c r="D2559" t="s">
        <v>8027</v>
      </c>
      <c r="E2559" t="s">
        <v>8036</v>
      </c>
      <c r="F2559" t="s">
        <v>8037</v>
      </c>
    </row>
    <row r="2560" spans="1:6" x14ac:dyDescent="0.25">
      <c r="A2560" t="s">
        <v>1677</v>
      </c>
      <c r="B2560" t="str">
        <f>"20099098      "</f>
        <v xml:space="preserve">20099098      </v>
      </c>
      <c r="C2560" t="s">
        <v>6775</v>
      </c>
      <c r="D2560" t="s">
        <v>6775</v>
      </c>
      <c r="E2560" t="s">
        <v>8038</v>
      </c>
      <c r="F2560" t="s">
        <v>8039</v>
      </c>
    </row>
    <row r="2561" spans="1:6" x14ac:dyDescent="0.25">
      <c r="A2561" t="s">
        <v>1677</v>
      </c>
      <c r="B2561" t="str">
        <f>"22021000      "</f>
        <v xml:space="preserve">22021000      </v>
      </c>
      <c r="C2561" t="s">
        <v>8040</v>
      </c>
      <c r="D2561" t="s">
        <v>8040</v>
      </c>
      <c r="E2561" t="s">
        <v>8041</v>
      </c>
      <c r="F2561" t="s">
        <v>8042</v>
      </c>
    </row>
    <row r="2562" spans="1:6" x14ac:dyDescent="0.25">
      <c r="A2562" t="s">
        <v>1677</v>
      </c>
      <c r="B2562" t="str">
        <f>"22029100      "</f>
        <v xml:space="preserve">22029100      </v>
      </c>
      <c r="C2562" t="s">
        <v>8043</v>
      </c>
      <c r="D2562" t="s">
        <v>8043</v>
      </c>
      <c r="E2562" t="s">
        <v>8044</v>
      </c>
      <c r="F2562" t="s">
        <v>8045</v>
      </c>
    </row>
    <row r="2563" spans="1:6" x14ac:dyDescent="0.25">
      <c r="A2563" t="s">
        <v>1677</v>
      </c>
      <c r="B2563" t="str">
        <f>"22029911      "</f>
        <v xml:space="preserve">22029911      </v>
      </c>
      <c r="C2563" t="s">
        <v>8046</v>
      </c>
      <c r="D2563" t="s">
        <v>8046</v>
      </c>
      <c r="E2563" t="s">
        <v>8047</v>
      </c>
      <c r="F2563" t="s">
        <v>8048</v>
      </c>
    </row>
    <row r="2564" spans="1:6" x14ac:dyDescent="0.25">
      <c r="A2564" t="s">
        <v>1677</v>
      </c>
      <c r="B2564" t="str">
        <f>"22029915      "</f>
        <v xml:space="preserve">22029915      </v>
      </c>
      <c r="C2564" t="s">
        <v>8049</v>
      </c>
      <c r="D2564" t="s">
        <v>8049</v>
      </c>
      <c r="E2564" t="s">
        <v>8050</v>
      </c>
      <c r="F2564" t="s">
        <v>8051</v>
      </c>
    </row>
    <row r="2565" spans="1:6" x14ac:dyDescent="0.25">
      <c r="A2565" t="s">
        <v>1677</v>
      </c>
      <c r="B2565" t="str">
        <f>"22029919      "</f>
        <v xml:space="preserve">22029919      </v>
      </c>
      <c r="C2565" t="s">
        <v>6775</v>
      </c>
      <c r="D2565" t="s">
        <v>6775</v>
      </c>
      <c r="E2565" t="s">
        <v>8052</v>
      </c>
      <c r="F2565" t="s">
        <v>8053</v>
      </c>
    </row>
    <row r="2566" spans="1:6" x14ac:dyDescent="0.25">
      <c r="A2566" t="s">
        <v>1677</v>
      </c>
      <c r="B2566" t="str">
        <f>"22029991      "</f>
        <v xml:space="preserve">22029991      </v>
      </c>
      <c r="C2566" t="s">
        <v>8054</v>
      </c>
      <c r="D2566" t="s">
        <v>8054</v>
      </c>
      <c r="E2566" t="s">
        <v>8055</v>
      </c>
      <c r="F2566" t="s">
        <v>8056</v>
      </c>
    </row>
    <row r="2567" spans="1:6" x14ac:dyDescent="0.25">
      <c r="A2567" t="s">
        <v>1677</v>
      </c>
      <c r="B2567" t="str">
        <f>"22029995      "</f>
        <v xml:space="preserve">22029995      </v>
      </c>
      <c r="C2567" t="s">
        <v>8057</v>
      </c>
      <c r="D2567" t="s">
        <v>8057</v>
      </c>
      <c r="E2567" t="s">
        <v>8058</v>
      </c>
      <c r="F2567" t="s">
        <v>8059</v>
      </c>
    </row>
    <row r="2568" spans="1:6" x14ac:dyDescent="0.25">
      <c r="A2568" t="s">
        <v>1677</v>
      </c>
      <c r="B2568" t="str">
        <f>"22029999      "</f>
        <v xml:space="preserve">22029999      </v>
      </c>
      <c r="C2568" t="s">
        <v>8060</v>
      </c>
      <c r="D2568" t="s">
        <v>8060</v>
      </c>
      <c r="E2568" t="s">
        <v>8061</v>
      </c>
      <c r="F2568" t="s">
        <v>8062</v>
      </c>
    </row>
    <row r="2569" spans="1:6" x14ac:dyDescent="0.25">
      <c r="A2569" t="s">
        <v>1677</v>
      </c>
      <c r="B2569" t="str">
        <f>"23061000      "</f>
        <v xml:space="preserve">23061000      </v>
      </c>
      <c r="C2569" t="s">
        <v>8063</v>
      </c>
      <c r="D2569" t="s">
        <v>8063</v>
      </c>
      <c r="E2569" t="s">
        <v>8064</v>
      </c>
      <c r="F2569" t="s">
        <v>8065</v>
      </c>
    </row>
    <row r="2570" spans="1:6" x14ac:dyDescent="0.25">
      <c r="A2570" t="s">
        <v>1677</v>
      </c>
      <c r="B2570" t="str">
        <f>"23062000      "</f>
        <v xml:space="preserve">23062000      </v>
      </c>
      <c r="C2570" t="s">
        <v>8066</v>
      </c>
      <c r="D2570" t="s">
        <v>8066</v>
      </c>
      <c r="E2570" t="s">
        <v>8067</v>
      </c>
      <c r="F2570" t="s">
        <v>8068</v>
      </c>
    </row>
    <row r="2571" spans="1:6" x14ac:dyDescent="0.25">
      <c r="A2571" t="s">
        <v>1677</v>
      </c>
      <c r="B2571" t="str">
        <f>"23063000      "</f>
        <v xml:space="preserve">23063000      </v>
      </c>
      <c r="C2571" t="s">
        <v>8069</v>
      </c>
      <c r="D2571" t="s">
        <v>8069</v>
      </c>
      <c r="E2571" t="s">
        <v>8070</v>
      </c>
      <c r="F2571" t="s">
        <v>8071</v>
      </c>
    </row>
    <row r="2572" spans="1:6" x14ac:dyDescent="0.25">
      <c r="A2572" t="s">
        <v>1677</v>
      </c>
      <c r="B2572" t="str">
        <f>"23064100      "</f>
        <v xml:space="preserve">23064100      </v>
      </c>
      <c r="C2572" t="s">
        <v>8072</v>
      </c>
      <c r="D2572" t="s">
        <v>8072</v>
      </c>
      <c r="E2572" t="s">
        <v>8073</v>
      </c>
      <c r="F2572" t="s">
        <v>8074</v>
      </c>
    </row>
    <row r="2573" spans="1:6" x14ac:dyDescent="0.25">
      <c r="A2573" t="s">
        <v>1677</v>
      </c>
      <c r="B2573" t="str">
        <f>"23064900      "</f>
        <v xml:space="preserve">23064900      </v>
      </c>
      <c r="C2573" t="s">
        <v>6775</v>
      </c>
      <c r="D2573" t="s">
        <v>6775</v>
      </c>
      <c r="E2573" t="s">
        <v>8075</v>
      </c>
      <c r="F2573" t="s">
        <v>8076</v>
      </c>
    </row>
    <row r="2574" spans="1:6" x14ac:dyDescent="0.25">
      <c r="A2574" t="s">
        <v>1677</v>
      </c>
      <c r="B2574" t="str">
        <f>"23065000      "</f>
        <v xml:space="preserve">23065000      </v>
      </c>
      <c r="C2574" t="s">
        <v>8077</v>
      </c>
      <c r="D2574" t="s">
        <v>8077</v>
      </c>
      <c r="E2574" t="s">
        <v>8078</v>
      </c>
      <c r="F2574" t="s">
        <v>8079</v>
      </c>
    </row>
    <row r="2575" spans="1:6" x14ac:dyDescent="0.25">
      <c r="A2575" t="s">
        <v>1677</v>
      </c>
      <c r="B2575" t="str">
        <f>"23066000      "</f>
        <v xml:space="preserve">23066000      </v>
      </c>
      <c r="C2575" t="s">
        <v>8080</v>
      </c>
      <c r="D2575" t="s">
        <v>8080</v>
      </c>
      <c r="E2575" t="s">
        <v>8081</v>
      </c>
      <c r="F2575" t="s">
        <v>8082</v>
      </c>
    </row>
    <row r="2576" spans="1:6" x14ac:dyDescent="0.25">
      <c r="A2576" t="s">
        <v>1677</v>
      </c>
      <c r="B2576" t="str">
        <f>"23069005      "</f>
        <v xml:space="preserve">23069005      </v>
      </c>
      <c r="C2576" t="s">
        <v>8083</v>
      </c>
      <c r="D2576" t="s">
        <v>8083</v>
      </c>
      <c r="E2576" t="s">
        <v>8084</v>
      </c>
      <c r="F2576" t="s">
        <v>8085</v>
      </c>
    </row>
    <row r="2577" spans="1:6" x14ac:dyDescent="0.25">
      <c r="A2577" t="s">
        <v>1677</v>
      </c>
      <c r="B2577" t="str">
        <f>"23069011      "</f>
        <v xml:space="preserve">23069011      </v>
      </c>
      <c r="C2577" t="s">
        <v>8086</v>
      </c>
      <c r="D2577" t="s">
        <v>8086</v>
      </c>
      <c r="E2577" t="s">
        <v>8087</v>
      </c>
      <c r="F2577" t="s">
        <v>8088</v>
      </c>
    </row>
    <row r="2578" spans="1:6" x14ac:dyDescent="0.25">
      <c r="A2578" t="s">
        <v>1677</v>
      </c>
      <c r="B2578" t="str">
        <f>"23069019      "</f>
        <v xml:space="preserve">23069019      </v>
      </c>
      <c r="C2578" t="s">
        <v>8089</v>
      </c>
      <c r="D2578" t="s">
        <v>8089</v>
      </c>
      <c r="E2578" t="s">
        <v>8090</v>
      </c>
      <c r="F2578" t="s">
        <v>8091</v>
      </c>
    </row>
    <row r="2579" spans="1:6" x14ac:dyDescent="0.25">
      <c r="A2579" t="s">
        <v>1677</v>
      </c>
      <c r="B2579" t="str">
        <f>"23069090      "</f>
        <v xml:space="preserve">23069090      </v>
      </c>
      <c r="C2579" t="s">
        <v>6775</v>
      </c>
      <c r="D2579" t="s">
        <v>6775</v>
      </c>
      <c r="E2579" t="s">
        <v>8092</v>
      </c>
      <c r="F2579" t="s">
        <v>8093</v>
      </c>
    </row>
    <row r="2580" spans="1:6" x14ac:dyDescent="0.25">
      <c r="A2580" t="s">
        <v>1677</v>
      </c>
      <c r="B2580" t="str">
        <f>"24011035      "</f>
        <v xml:space="preserve">24011035      </v>
      </c>
      <c r="C2580" t="s">
        <v>8094</v>
      </c>
      <c r="D2580" t="s">
        <v>8094</v>
      </c>
      <c r="E2580" t="s">
        <v>8095</v>
      </c>
      <c r="F2580" t="s">
        <v>8096</v>
      </c>
    </row>
    <row r="2581" spans="1:6" x14ac:dyDescent="0.25">
      <c r="A2581" t="s">
        <v>1677</v>
      </c>
      <c r="B2581" t="str">
        <f>"24011060      "</f>
        <v xml:space="preserve">24011060      </v>
      </c>
      <c r="C2581" t="s">
        <v>8097</v>
      </c>
      <c r="D2581" t="s">
        <v>8097</v>
      </c>
      <c r="E2581" t="s">
        <v>8098</v>
      </c>
      <c r="F2581" t="s">
        <v>8099</v>
      </c>
    </row>
    <row r="2582" spans="1:6" x14ac:dyDescent="0.25">
      <c r="A2582" t="s">
        <v>1677</v>
      </c>
      <c r="B2582" t="str">
        <f>"24011070      "</f>
        <v xml:space="preserve">24011070      </v>
      </c>
      <c r="C2582" t="s">
        <v>8100</v>
      </c>
      <c r="D2582" t="s">
        <v>8100</v>
      </c>
      <c r="E2582" t="s">
        <v>8101</v>
      </c>
      <c r="F2582" t="s">
        <v>8102</v>
      </c>
    </row>
    <row r="2583" spans="1:6" x14ac:dyDescent="0.25">
      <c r="A2583" t="s">
        <v>1677</v>
      </c>
      <c r="B2583" t="str">
        <f>"24011085      "</f>
        <v xml:space="preserve">24011085      </v>
      </c>
      <c r="C2583" t="s">
        <v>8103</v>
      </c>
      <c r="D2583" t="s">
        <v>8103</v>
      </c>
      <c r="E2583" t="s">
        <v>8104</v>
      </c>
      <c r="F2583" t="s">
        <v>8105</v>
      </c>
    </row>
    <row r="2584" spans="1:6" x14ac:dyDescent="0.25">
      <c r="A2584" t="s">
        <v>1677</v>
      </c>
      <c r="B2584" t="str">
        <f>"24011095      "</f>
        <v xml:space="preserve">24011095      </v>
      </c>
      <c r="C2584" t="s">
        <v>6746</v>
      </c>
      <c r="D2584" t="s">
        <v>6746</v>
      </c>
      <c r="E2584" t="s">
        <v>8106</v>
      </c>
      <c r="F2584" t="s">
        <v>8107</v>
      </c>
    </row>
    <row r="2585" spans="1:6" x14ac:dyDescent="0.25">
      <c r="A2585" t="s">
        <v>1677</v>
      </c>
      <c r="B2585" t="str">
        <f>"24012035      "</f>
        <v xml:space="preserve">24012035      </v>
      </c>
      <c r="C2585" t="s">
        <v>8094</v>
      </c>
      <c r="D2585" t="s">
        <v>8094</v>
      </c>
      <c r="E2585" t="s">
        <v>8108</v>
      </c>
      <c r="F2585" t="s">
        <v>8109</v>
      </c>
    </row>
    <row r="2586" spans="1:6" x14ac:dyDescent="0.25">
      <c r="A2586" t="s">
        <v>1677</v>
      </c>
      <c r="B2586" t="str">
        <f>"24012060      "</f>
        <v xml:space="preserve">24012060      </v>
      </c>
      <c r="C2586" t="s">
        <v>8097</v>
      </c>
      <c r="D2586" t="s">
        <v>8097</v>
      </c>
      <c r="E2586" t="s">
        <v>8110</v>
      </c>
      <c r="F2586" t="s">
        <v>8111</v>
      </c>
    </row>
    <row r="2587" spans="1:6" x14ac:dyDescent="0.25">
      <c r="A2587" t="s">
        <v>1677</v>
      </c>
      <c r="B2587" t="str">
        <f>"24012070      "</f>
        <v xml:space="preserve">24012070      </v>
      </c>
      <c r="C2587" t="s">
        <v>8100</v>
      </c>
      <c r="D2587" t="s">
        <v>8100</v>
      </c>
      <c r="E2587" t="s">
        <v>8112</v>
      </c>
      <c r="F2587" t="s">
        <v>8113</v>
      </c>
    </row>
    <row r="2588" spans="1:6" x14ac:dyDescent="0.25">
      <c r="A2588" t="s">
        <v>1677</v>
      </c>
      <c r="B2588" t="str">
        <f>"24012085      "</f>
        <v xml:space="preserve">24012085      </v>
      </c>
      <c r="C2588" t="s">
        <v>8103</v>
      </c>
      <c r="D2588" t="s">
        <v>8103</v>
      </c>
      <c r="E2588" t="s">
        <v>8114</v>
      </c>
      <c r="F2588" t="s">
        <v>8115</v>
      </c>
    </row>
    <row r="2589" spans="1:6" x14ac:dyDescent="0.25">
      <c r="A2589" t="s">
        <v>1677</v>
      </c>
      <c r="B2589" t="str">
        <f>"24012095      "</f>
        <v xml:space="preserve">24012095      </v>
      </c>
      <c r="C2589" t="s">
        <v>6746</v>
      </c>
      <c r="D2589" t="s">
        <v>6746</v>
      </c>
      <c r="E2589" t="s">
        <v>8116</v>
      </c>
      <c r="F2589" t="s">
        <v>8117</v>
      </c>
    </row>
    <row r="2590" spans="1:6" x14ac:dyDescent="0.25">
      <c r="A2590" t="s">
        <v>1677</v>
      </c>
      <c r="B2590" t="str">
        <f>"24013000      "</f>
        <v xml:space="preserve">24013000      </v>
      </c>
      <c r="C2590" t="s">
        <v>8118</v>
      </c>
      <c r="D2590" t="s">
        <v>8118</v>
      </c>
      <c r="E2590" t="s">
        <v>8119</v>
      </c>
      <c r="F2590" t="s">
        <v>8120</v>
      </c>
    </row>
    <row r="2591" spans="1:6" x14ac:dyDescent="0.25">
      <c r="A2591" t="s">
        <v>1677</v>
      </c>
      <c r="B2591" t="str">
        <f>"24021000      "</f>
        <v xml:space="preserve">24021000      </v>
      </c>
      <c r="C2591" t="s">
        <v>8121</v>
      </c>
      <c r="D2591" t="s">
        <v>8121</v>
      </c>
      <c r="E2591" t="s">
        <v>8122</v>
      </c>
      <c r="F2591" t="s">
        <v>8123</v>
      </c>
    </row>
    <row r="2592" spans="1:6" x14ac:dyDescent="0.25">
      <c r="A2592" t="s">
        <v>1677</v>
      </c>
      <c r="B2592" t="str">
        <f>"24022010      "</f>
        <v xml:space="preserve">24022010      </v>
      </c>
      <c r="C2592" t="s">
        <v>8124</v>
      </c>
      <c r="D2592" t="s">
        <v>8124</v>
      </c>
      <c r="E2592" t="s">
        <v>8125</v>
      </c>
      <c r="F2592" t="s">
        <v>8126</v>
      </c>
    </row>
    <row r="2593" spans="1:6" x14ac:dyDescent="0.25">
      <c r="A2593" t="s">
        <v>1677</v>
      </c>
      <c r="B2593" t="str">
        <f>"24022090      "</f>
        <v xml:space="preserve">24022090      </v>
      </c>
      <c r="C2593" t="s">
        <v>6775</v>
      </c>
      <c r="D2593" t="s">
        <v>6775</v>
      </c>
      <c r="E2593" t="s">
        <v>8127</v>
      </c>
      <c r="F2593" t="s">
        <v>8128</v>
      </c>
    </row>
    <row r="2594" spans="1:6" x14ac:dyDescent="0.25">
      <c r="A2594" t="s">
        <v>1677</v>
      </c>
      <c r="B2594" t="str">
        <f>"24029000      "</f>
        <v xml:space="preserve">24029000      </v>
      </c>
      <c r="C2594" t="s">
        <v>6775</v>
      </c>
      <c r="D2594" t="s">
        <v>6775</v>
      </c>
      <c r="E2594" t="s">
        <v>8129</v>
      </c>
      <c r="F2594" t="s">
        <v>8130</v>
      </c>
    </row>
    <row r="2595" spans="1:6" x14ac:dyDescent="0.25">
      <c r="A2595" t="s">
        <v>1677</v>
      </c>
      <c r="B2595" t="str">
        <f>"24031100      "</f>
        <v xml:space="preserve">24031100      </v>
      </c>
      <c r="C2595" t="s">
        <v>8131</v>
      </c>
      <c r="D2595" t="s">
        <v>8131</v>
      </c>
      <c r="E2595" t="s">
        <v>8132</v>
      </c>
      <c r="F2595" t="s">
        <v>8133</v>
      </c>
    </row>
    <row r="2596" spans="1:6" x14ac:dyDescent="0.25">
      <c r="A2596" t="s">
        <v>1677</v>
      </c>
      <c r="B2596" t="str">
        <f>"24031910      "</f>
        <v xml:space="preserve">24031910      </v>
      </c>
      <c r="C2596" t="s">
        <v>8134</v>
      </c>
      <c r="D2596" t="s">
        <v>8134</v>
      </c>
      <c r="E2596" t="s">
        <v>8135</v>
      </c>
      <c r="F2596" t="s">
        <v>8136</v>
      </c>
    </row>
    <row r="2597" spans="1:6" x14ac:dyDescent="0.25">
      <c r="A2597" t="s">
        <v>1677</v>
      </c>
      <c r="B2597" t="str">
        <f>"24031990      "</f>
        <v xml:space="preserve">24031990      </v>
      </c>
      <c r="C2597" t="s">
        <v>6746</v>
      </c>
      <c r="D2597" t="s">
        <v>6746</v>
      </c>
      <c r="E2597" t="s">
        <v>8137</v>
      </c>
      <c r="F2597" t="s">
        <v>8138</v>
      </c>
    </row>
    <row r="2598" spans="1:6" x14ac:dyDescent="0.25">
      <c r="A2598" t="s">
        <v>1677</v>
      </c>
      <c r="B2598" t="str">
        <f>"24039100      "</f>
        <v xml:space="preserve">24039100      </v>
      </c>
      <c r="C2598" t="s">
        <v>8139</v>
      </c>
      <c r="D2598" t="s">
        <v>8139</v>
      </c>
      <c r="E2598" t="s">
        <v>8140</v>
      </c>
      <c r="F2598" t="s">
        <v>8141</v>
      </c>
    </row>
    <row r="2599" spans="1:6" x14ac:dyDescent="0.25">
      <c r="A2599" t="s">
        <v>1677</v>
      </c>
      <c r="B2599" t="str">
        <f>"24039910      "</f>
        <v xml:space="preserve">24039910      </v>
      </c>
      <c r="C2599" t="s">
        <v>8142</v>
      </c>
      <c r="D2599" t="s">
        <v>8142</v>
      </c>
      <c r="E2599" t="s">
        <v>8143</v>
      </c>
      <c r="F2599" t="s">
        <v>8144</v>
      </c>
    </row>
    <row r="2600" spans="1:6" x14ac:dyDescent="0.25">
      <c r="A2600" t="s">
        <v>1677</v>
      </c>
      <c r="B2600" t="str">
        <f>"24039990      "</f>
        <v xml:space="preserve">24039990      </v>
      </c>
      <c r="C2600" t="s">
        <v>6775</v>
      </c>
      <c r="D2600" t="s">
        <v>6775</v>
      </c>
      <c r="E2600" t="s">
        <v>8145</v>
      </c>
      <c r="F2600" t="s">
        <v>8146</v>
      </c>
    </row>
    <row r="2601" spans="1:6" x14ac:dyDescent="0.25">
      <c r="A2601" t="s">
        <v>1677</v>
      </c>
      <c r="B2601" t="str">
        <f>"25181000      "</f>
        <v xml:space="preserve">25181000      </v>
      </c>
      <c r="C2601" t="s">
        <v>8147</v>
      </c>
      <c r="D2601" t="s">
        <v>8147</v>
      </c>
      <c r="E2601" t="s">
        <v>8148</v>
      </c>
      <c r="F2601" t="s">
        <v>8149</v>
      </c>
    </row>
    <row r="2602" spans="1:6" x14ac:dyDescent="0.25">
      <c r="A2602" t="s">
        <v>1677</v>
      </c>
      <c r="B2602" t="str">
        <f>"25182000      "</f>
        <v xml:space="preserve">25182000      </v>
      </c>
      <c r="C2602" t="s">
        <v>8150</v>
      </c>
      <c r="D2602" t="s">
        <v>8150</v>
      </c>
      <c r="E2602" t="s">
        <v>8151</v>
      </c>
      <c r="F2602" t="s">
        <v>8152</v>
      </c>
    </row>
    <row r="2603" spans="1:6" x14ac:dyDescent="0.25">
      <c r="A2603" t="s">
        <v>1677</v>
      </c>
      <c r="B2603" t="str">
        <f>"29037100      "</f>
        <v xml:space="preserve">29037100      </v>
      </c>
      <c r="C2603" t="s">
        <v>8153</v>
      </c>
      <c r="D2603" t="s">
        <v>8154</v>
      </c>
      <c r="E2603" t="s">
        <v>8155</v>
      </c>
      <c r="F2603" t="s">
        <v>8156</v>
      </c>
    </row>
    <row r="2604" spans="1:6" x14ac:dyDescent="0.25">
      <c r="A2604" t="s">
        <v>1677</v>
      </c>
      <c r="B2604" t="str">
        <f>"29037200      "</f>
        <v xml:space="preserve">29037200      </v>
      </c>
      <c r="C2604" t="s">
        <v>8157</v>
      </c>
      <c r="D2604" t="s">
        <v>8158</v>
      </c>
      <c r="E2604" t="s">
        <v>8159</v>
      </c>
      <c r="F2604" t="s">
        <v>8160</v>
      </c>
    </row>
    <row r="2605" spans="1:6" x14ac:dyDescent="0.25">
      <c r="A2605" t="s">
        <v>1677</v>
      </c>
      <c r="B2605" t="str">
        <f>"29037300      "</f>
        <v xml:space="preserve">29037300      </v>
      </c>
      <c r="C2605" t="s">
        <v>8161</v>
      </c>
      <c r="D2605" t="s">
        <v>8162</v>
      </c>
      <c r="E2605" t="s">
        <v>8163</v>
      </c>
      <c r="F2605" t="s">
        <v>8164</v>
      </c>
    </row>
    <row r="2606" spans="1:6" x14ac:dyDescent="0.25">
      <c r="A2606" t="s">
        <v>1677</v>
      </c>
      <c r="B2606" t="str">
        <f>"29037400      "</f>
        <v xml:space="preserve">29037400      </v>
      </c>
      <c r="C2606" t="s">
        <v>8165</v>
      </c>
      <c r="D2606" t="s">
        <v>8166</v>
      </c>
      <c r="E2606" t="s">
        <v>8167</v>
      </c>
      <c r="F2606" t="s">
        <v>8168</v>
      </c>
    </row>
    <row r="2607" spans="1:6" x14ac:dyDescent="0.25">
      <c r="A2607" t="s">
        <v>1677</v>
      </c>
      <c r="B2607" t="str">
        <f>"29037500      "</f>
        <v xml:space="preserve">29037500      </v>
      </c>
      <c r="C2607" t="s">
        <v>8169</v>
      </c>
      <c r="D2607" t="s">
        <v>8170</v>
      </c>
      <c r="E2607" t="s">
        <v>8171</v>
      </c>
      <c r="F2607" t="s">
        <v>8172</v>
      </c>
    </row>
    <row r="2608" spans="1:6" x14ac:dyDescent="0.25">
      <c r="A2608" t="s">
        <v>1677</v>
      </c>
      <c r="B2608" t="str">
        <f>"29037610      "</f>
        <v xml:space="preserve">29037610      </v>
      </c>
      <c r="C2608" t="s">
        <v>8173</v>
      </c>
      <c r="D2608" t="s">
        <v>8174</v>
      </c>
      <c r="E2608" t="s">
        <v>8175</v>
      </c>
      <c r="F2608" t="s">
        <v>8176</v>
      </c>
    </row>
    <row r="2609" spans="1:6" x14ac:dyDescent="0.25">
      <c r="A2609" t="s">
        <v>1677</v>
      </c>
      <c r="B2609" t="str">
        <f>"29037620      "</f>
        <v xml:space="preserve">29037620      </v>
      </c>
      <c r="C2609" t="s">
        <v>8177</v>
      </c>
      <c r="D2609" t="s">
        <v>8178</v>
      </c>
      <c r="E2609" t="s">
        <v>8179</v>
      </c>
      <c r="F2609" t="s">
        <v>8180</v>
      </c>
    </row>
    <row r="2610" spans="1:6" x14ac:dyDescent="0.25">
      <c r="A2610" t="s">
        <v>1677</v>
      </c>
      <c r="B2610" t="str">
        <f>"29037690      "</f>
        <v xml:space="preserve">29037690      </v>
      </c>
      <c r="C2610" t="s">
        <v>8181</v>
      </c>
      <c r="D2610" t="s">
        <v>8182</v>
      </c>
      <c r="E2610" t="s">
        <v>8183</v>
      </c>
      <c r="F2610" t="s">
        <v>8184</v>
      </c>
    </row>
    <row r="2611" spans="1:6" x14ac:dyDescent="0.25">
      <c r="A2611" t="s">
        <v>1677</v>
      </c>
      <c r="B2611" t="str">
        <f>"29091100      "</f>
        <v xml:space="preserve">29091100      </v>
      </c>
      <c r="C2611" t="s">
        <v>8185</v>
      </c>
      <c r="D2611" t="s">
        <v>8185</v>
      </c>
      <c r="E2611" t="s">
        <v>8186</v>
      </c>
      <c r="F2611" t="s">
        <v>8187</v>
      </c>
    </row>
    <row r="2612" spans="1:6" x14ac:dyDescent="0.25">
      <c r="A2612" t="s">
        <v>1677</v>
      </c>
      <c r="B2612" t="str">
        <f>"29091910      "</f>
        <v xml:space="preserve">29091910      </v>
      </c>
      <c r="C2612" t="s">
        <v>8188</v>
      </c>
      <c r="D2612" t="s">
        <v>8188</v>
      </c>
      <c r="E2612" t="s">
        <v>8189</v>
      </c>
      <c r="F2612" t="s">
        <v>8190</v>
      </c>
    </row>
    <row r="2613" spans="1:6" x14ac:dyDescent="0.25">
      <c r="A2613" t="s">
        <v>1677</v>
      </c>
      <c r="B2613" t="str">
        <f>"29091990      "</f>
        <v xml:space="preserve">29091990      </v>
      </c>
      <c r="C2613" t="s">
        <v>6775</v>
      </c>
      <c r="D2613" t="s">
        <v>6775</v>
      </c>
      <c r="E2613" t="s">
        <v>8191</v>
      </c>
      <c r="F2613" t="s">
        <v>8192</v>
      </c>
    </row>
    <row r="2614" spans="1:6" x14ac:dyDescent="0.25">
      <c r="A2614" t="s">
        <v>1677</v>
      </c>
      <c r="B2614" t="str">
        <f>"29092000      "</f>
        <v xml:space="preserve">29092000      </v>
      </c>
      <c r="C2614" t="s">
        <v>8193</v>
      </c>
      <c r="D2614" t="s">
        <v>8193</v>
      </c>
      <c r="E2614" t="s">
        <v>8194</v>
      </c>
      <c r="F2614" t="s">
        <v>8195</v>
      </c>
    </row>
    <row r="2615" spans="1:6" x14ac:dyDescent="0.25">
      <c r="A2615" t="s">
        <v>1677</v>
      </c>
      <c r="B2615" t="str">
        <f>"29093010      "</f>
        <v xml:space="preserve">29093010      </v>
      </c>
      <c r="C2615" t="s">
        <v>8196</v>
      </c>
      <c r="D2615" t="s">
        <v>8196</v>
      </c>
      <c r="E2615" t="s">
        <v>8197</v>
      </c>
      <c r="F2615" t="s">
        <v>8198</v>
      </c>
    </row>
    <row r="2616" spans="1:6" x14ac:dyDescent="0.25">
      <c r="A2616" t="s">
        <v>1677</v>
      </c>
      <c r="B2616" t="str">
        <f>"29093031      "</f>
        <v xml:space="preserve">29093031      </v>
      </c>
      <c r="C2616" t="s">
        <v>8199</v>
      </c>
      <c r="D2616" t="s">
        <v>8199</v>
      </c>
      <c r="E2616" t="s">
        <v>8200</v>
      </c>
      <c r="F2616" t="s">
        <v>8201</v>
      </c>
    </row>
    <row r="2617" spans="1:6" x14ac:dyDescent="0.25">
      <c r="A2617" t="s">
        <v>1677</v>
      </c>
      <c r="B2617" t="str">
        <f>"29093035      "</f>
        <v xml:space="preserve">29093035      </v>
      </c>
      <c r="C2617" t="s">
        <v>8202</v>
      </c>
      <c r="D2617" t="s">
        <v>8202</v>
      </c>
      <c r="E2617" t="s">
        <v>8203</v>
      </c>
      <c r="F2617" t="s">
        <v>8204</v>
      </c>
    </row>
    <row r="2618" spans="1:6" x14ac:dyDescent="0.25">
      <c r="A2618" t="s">
        <v>1677</v>
      </c>
      <c r="B2618" t="str">
        <f>"29093038      "</f>
        <v xml:space="preserve">29093038      </v>
      </c>
      <c r="C2618" t="s">
        <v>6775</v>
      </c>
      <c r="D2618" t="s">
        <v>6775</v>
      </c>
      <c r="E2618" t="s">
        <v>8205</v>
      </c>
      <c r="F2618" t="s">
        <v>8206</v>
      </c>
    </row>
    <row r="2619" spans="1:6" x14ac:dyDescent="0.25">
      <c r="A2619" t="s">
        <v>1677</v>
      </c>
      <c r="B2619" t="str">
        <f>"29093090      "</f>
        <v xml:space="preserve">29093090      </v>
      </c>
      <c r="C2619" t="s">
        <v>6775</v>
      </c>
      <c r="D2619" t="s">
        <v>6775</v>
      </c>
      <c r="E2619" t="s">
        <v>8207</v>
      </c>
      <c r="F2619" t="s">
        <v>8208</v>
      </c>
    </row>
    <row r="2620" spans="1:6" x14ac:dyDescent="0.25">
      <c r="A2620" t="s">
        <v>1677</v>
      </c>
      <c r="B2620" t="str">
        <f>"29094100      "</f>
        <v xml:space="preserve">29094100      </v>
      </c>
      <c r="C2620" t="s">
        <v>8209</v>
      </c>
      <c r="D2620" t="s">
        <v>8209</v>
      </c>
      <c r="E2620" t="s">
        <v>8210</v>
      </c>
      <c r="F2620" t="s">
        <v>8211</v>
      </c>
    </row>
    <row r="2621" spans="1:6" x14ac:dyDescent="0.25">
      <c r="A2621" t="s">
        <v>1677</v>
      </c>
      <c r="B2621" t="str">
        <f>"29094300      "</f>
        <v xml:space="preserve">29094300      </v>
      </c>
      <c r="C2621" t="s">
        <v>8212</v>
      </c>
      <c r="D2621" t="s">
        <v>8212</v>
      </c>
      <c r="E2621" t="s">
        <v>8213</v>
      </c>
      <c r="F2621" t="s">
        <v>8214</v>
      </c>
    </row>
    <row r="2622" spans="1:6" x14ac:dyDescent="0.25">
      <c r="A2622" t="s">
        <v>1677</v>
      </c>
      <c r="B2622" t="str">
        <f>"29094400      "</f>
        <v xml:space="preserve">29094400      </v>
      </c>
      <c r="C2622" t="s">
        <v>8215</v>
      </c>
      <c r="D2622" t="s">
        <v>8215</v>
      </c>
      <c r="E2622" t="s">
        <v>8216</v>
      </c>
      <c r="F2622" t="s">
        <v>8217</v>
      </c>
    </row>
    <row r="2623" spans="1:6" x14ac:dyDescent="0.25">
      <c r="A2623" t="s">
        <v>1677</v>
      </c>
      <c r="B2623" t="str">
        <f>"29094911      "</f>
        <v xml:space="preserve">29094911      </v>
      </c>
      <c r="C2623" t="s">
        <v>8218</v>
      </c>
      <c r="D2623" t="s">
        <v>8218</v>
      </c>
      <c r="E2623" t="s">
        <v>8219</v>
      </c>
      <c r="F2623" t="s">
        <v>8220</v>
      </c>
    </row>
    <row r="2624" spans="1:6" x14ac:dyDescent="0.25">
      <c r="A2624" t="s">
        <v>1677</v>
      </c>
      <c r="B2624" t="str">
        <f>"29094980      "</f>
        <v xml:space="preserve">29094980      </v>
      </c>
      <c r="C2624" t="s">
        <v>6775</v>
      </c>
      <c r="D2624" t="s">
        <v>6775</v>
      </c>
      <c r="E2624" t="s">
        <v>8221</v>
      </c>
      <c r="F2624" t="s">
        <v>8222</v>
      </c>
    </row>
    <row r="2625" spans="1:6" x14ac:dyDescent="0.25">
      <c r="A2625" t="s">
        <v>1677</v>
      </c>
      <c r="B2625" t="str">
        <f>"29095000      "</f>
        <v xml:space="preserve">29095000      </v>
      </c>
      <c r="C2625" t="s">
        <v>8223</v>
      </c>
      <c r="D2625" t="s">
        <v>8223</v>
      </c>
      <c r="E2625" t="s">
        <v>8224</v>
      </c>
      <c r="F2625" t="s">
        <v>8225</v>
      </c>
    </row>
    <row r="2626" spans="1:6" x14ac:dyDescent="0.25">
      <c r="A2626" t="s">
        <v>1677</v>
      </c>
      <c r="B2626" t="str">
        <f>"29333300      "</f>
        <v xml:space="preserve">29333300      </v>
      </c>
      <c r="C2626" t="s">
        <v>8226</v>
      </c>
      <c r="D2626" t="s">
        <v>8227</v>
      </c>
      <c r="E2626" t="s">
        <v>8228</v>
      </c>
      <c r="F2626" t="s">
        <v>8229</v>
      </c>
    </row>
    <row r="2627" spans="1:6" x14ac:dyDescent="0.25">
      <c r="A2627" t="s">
        <v>1677</v>
      </c>
      <c r="B2627" t="str">
        <f>"29362400      "</f>
        <v xml:space="preserve">29362400      </v>
      </c>
      <c r="C2627" t="s">
        <v>8230</v>
      </c>
      <c r="D2627" t="s">
        <v>8231</v>
      </c>
      <c r="E2627" t="s">
        <v>8232</v>
      </c>
      <c r="F2627" t="s">
        <v>8233</v>
      </c>
    </row>
    <row r="2628" spans="1:6" x14ac:dyDescent="0.25">
      <c r="A2628" t="s">
        <v>1677</v>
      </c>
      <c r="B2628" t="str">
        <f>"29394100      "</f>
        <v xml:space="preserve">29394100      </v>
      </c>
      <c r="C2628" t="s">
        <v>8234</v>
      </c>
      <c r="D2628" t="s">
        <v>8234</v>
      </c>
      <c r="E2628" t="s">
        <v>8235</v>
      </c>
      <c r="F2628" t="s">
        <v>8236</v>
      </c>
    </row>
    <row r="2629" spans="1:6" x14ac:dyDescent="0.25">
      <c r="A2629" t="s">
        <v>1677</v>
      </c>
      <c r="B2629" t="str">
        <f>"29394200      "</f>
        <v xml:space="preserve">29394200      </v>
      </c>
      <c r="C2629" t="s">
        <v>8237</v>
      </c>
      <c r="D2629" t="s">
        <v>8237</v>
      </c>
      <c r="E2629" t="s">
        <v>8238</v>
      </c>
      <c r="F2629" t="s">
        <v>8239</v>
      </c>
    </row>
    <row r="2630" spans="1:6" x14ac:dyDescent="0.25">
      <c r="A2630" t="s">
        <v>1677</v>
      </c>
      <c r="B2630" t="str">
        <f>"29394300      "</f>
        <v xml:space="preserve">29394300      </v>
      </c>
      <c r="C2630" t="s">
        <v>8240</v>
      </c>
      <c r="D2630" t="s">
        <v>8240</v>
      </c>
      <c r="E2630" t="s">
        <v>8241</v>
      </c>
      <c r="F2630" t="s">
        <v>8242</v>
      </c>
    </row>
    <row r="2631" spans="1:6" x14ac:dyDescent="0.25">
      <c r="A2631" t="s">
        <v>1677</v>
      </c>
      <c r="B2631" t="str">
        <f>"29394400      "</f>
        <v xml:space="preserve">29394400      </v>
      </c>
      <c r="C2631" t="s">
        <v>8243</v>
      </c>
      <c r="D2631" t="s">
        <v>8243</v>
      </c>
      <c r="E2631" t="s">
        <v>8244</v>
      </c>
      <c r="F2631" t="s">
        <v>8245</v>
      </c>
    </row>
    <row r="2632" spans="1:6" x14ac:dyDescent="0.25">
      <c r="A2632" t="s">
        <v>1677</v>
      </c>
      <c r="B2632" t="str">
        <f>"29394900      "</f>
        <v xml:space="preserve">29394900      </v>
      </c>
      <c r="C2632" t="s">
        <v>6775</v>
      </c>
      <c r="D2632" t="s">
        <v>6775</v>
      </c>
      <c r="E2632" t="s">
        <v>8246</v>
      </c>
      <c r="F2632" t="s">
        <v>8247</v>
      </c>
    </row>
    <row r="2633" spans="1:6" x14ac:dyDescent="0.25">
      <c r="A2633" t="s">
        <v>1677</v>
      </c>
      <c r="B2633" t="str">
        <f>"30021200      "</f>
        <v xml:space="preserve">30021200      </v>
      </c>
      <c r="C2633" t="s">
        <v>8248</v>
      </c>
      <c r="D2633" t="s">
        <v>8248</v>
      </c>
      <c r="E2633" t="s">
        <v>8249</v>
      </c>
      <c r="F2633" t="s">
        <v>8250</v>
      </c>
    </row>
    <row r="2634" spans="1:6" x14ac:dyDescent="0.25">
      <c r="A2634" t="s">
        <v>1677</v>
      </c>
      <c r="B2634" t="str">
        <f>"30021300      "</f>
        <v xml:space="preserve">30021300      </v>
      </c>
      <c r="C2634" t="s">
        <v>8251</v>
      </c>
      <c r="D2634" t="s">
        <v>8251</v>
      </c>
      <c r="E2634" t="s">
        <v>8252</v>
      </c>
      <c r="F2634" t="s">
        <v>8253</v>
      </c>
    </row>
    <row r="2635" spans="1:6" x14ac:dyDescent="0.25">
      <c r="A2635" t="s">
        <v>1677</v>
      </c>
      <c r="B2635" t="str">
        <f>"30021400      "</f>
        <v xml:space="preserve">30021400      </v>
      </c>
      <c r="C2635" t="s">
        <v>8254</v>
      </c>
      <c r="D2635" t="s">
        <v>8254</v>
      </c>
      <c r="E2635" t="s">
        <v>8255</v>
      </c>
      <c r="F2635" t="s">
        <v>8256</v>
      </c>
    </row>
    <row r="2636" spans="1:6" x14ac:dyDescent="0.25">
      <c r="A2636" t="s">
        <v>1677</v>
      </c>
      <c r="B2636" t="str">
        <f>"30021500      "</f>
        <v xml:space="preserve">30021500      </v>
      </c>
      <c r="C2636" t="s">
        <v>8257</v>
      </c>
      <c r="D2636" t="s">
        <v>8257</v>
      </c>
      <c r="E2636" t="s">
        <v>8258</v>
      </c>
      <c r="F2636" t="s">
        <v>8259</v>
      </c>
    </row>
    <row r="2637" spans="1:6" x14ac:dyDescent="0.25">
      <c r="A2637" t="s">
        <v>1677</v>
      </c>
      <c r="B2637" t="str">
        <f>"30029010      "</f>
        <v xml:space="preserve">30029010      </v>
      </c>
      <c r="C2637" t="s">
        <v>8260</v>
      </c>
      <c r="D2637" t="s">
        <v>8260</v>
      </c>
      <c r="E2637" t="s">
        <v>8261</v>
      </c>
      <c r="F2637" t="s">
        <v>8262</v>
      </c>
    </row>
    <row r="2638" spans="1:6" x14ac:dyDescent="0.25">
      <c r="A2638" t="s">
        <v>1677</v>
      </c>
      <c r="B2638" t="str">
        <f>"30029030      "</f>
        <v xml:space="preserve">30029030      </v>
      </c>
      <c r="C2638" t="s">
        <v>8263</v>
      </c>
      <c r="D2638" t="s">
        <v>8263</v>
      </c>
      <c r="E2638" t="s">
        <v>8264</v>
      </c>
      <c r="F2638" t="s">
        <v>8265</v>
      </c>
    </row>
    <row r="2639" spans="1:6" x14ac:dyDescent="0.25">
      <c r="A2639" t="s">
        <v>1677</v>
      </c>
      <c r="B2639" t="str">
        <f>"30029090      "</f>
        <v xml:space="preserve">30029090      </v>
      </c>
      <c r="C2639" t="s">
        <v>6775</v>
      </c>
      <c r="D2639" t="s">
        <v>6775</v>
      </c>
      <c r="E2639" t="s">
        <v>8266</v>
      </c>
      <c r="F2639" t="s">
        <v>8267</v>
      </c>
    </row>
    <row r="2640" spans="1:6" x14ac:dyDescent="0.25">
      <c r="A2640" t="s">
        <v>1677</v>
      </c>
      <c r="B2640" t="str">
        <f>"44032110      "</f>
        <v xml:space="preserve">44032110      </v>
      </c>
      <c r="C2640" t="s">
        <v>8268</v>
      </c>
      <c r="D2640" t="s">
        <v>8268</v>
      </c>
      <c r="E2640" t="s">
        <v>8269</v>
      </c>
      <c r="F2640" t="s">
        <v>8270</v>
      </c>
    </row>
    <row r="2641" spans="1:6" x14ac:dyDescent="0.25">
      <c r="A2641" t="s">
        <v>1677</v>
      </c>
      <c r="B2641" t="str">
        <f>"44032190      "</f>
        <v xml:space="preserve">44032190      </v>
      </c>
      <c r="C2641" t="s">
        <v>7234</v>
      </c>
      <c r="D2641" t="s">
        <v>7234</v>
      </c>
      <c r="E2641" t="s">
        <v>8271</v>
      </c>
      <c r="F2641" t="s">
        <v>8272</v>
      </c>
    </row>
    <row r="2642" spans="1:6" x14ac:dyDescent="0.25">
      <c r="A2642" t="s">
        <v>1677</v>
      </c>
      <c r="B2642" t="str">
        <f>"44032310      "</f>
        <v xml:space="preserve">44032310      </v>
      </c>
      <c r="C2642" t="s">
        <v>8268</v>
      </c>
      <c r="D2642" t="s">
        <v>8268</v>
      </c>
      <c r="E2642" t="s">
        <v>8273</v>
      </c>
      <c r="F2642" t="s">
        <v>8274</v>
      </c>
    </row>
    <row r="2643" spans="1:6" x14ac:dyDescent="0.25">
      <c r="A2643" t="s">
        <v>1677</v>
      </c>
      <c r="B2643" t="str">
        <f>"44032390      "</f>
        <v xml:space="preserve">44032390      </v>
      </c>
      <c r="C2643" t="s">
        <v>7234</v>
      </c>
      <c r="D2643" t="s">
        <v>7234</v>
      </c>
      <c r="E2643" t="s">
        <v>8275</v>
      </c>
      <c r="F2643" t="s">
        <v>8276</v>
      </c>
    </row>
    <row r="2644" spans="1:6" x14ac:dyDescent="0.25">
      <c r="A2644" t="s">
        <v>1677</v>
      </c>
      <c r="B2644" t="str">
        <f>"44032510      "</f>
        <v xml:space="preserve">44032510      </v>
      </c>
      <c r="C2644" t="s">
        <v>8268</v>
      </c>
      <c r="D2644" t="s">
        <v>8268</v>
      </c>
      <c r="E2644" t="s">
        <v>8277</v>
      </c>
      <c r="F2644" t="s">
        <v>8278</v>
      </c>
    </row>
    <row r="2645" spans="1:6" x14ac:dyDescent="0.25">
      <c r="A2645" t="s">
        <v>1677</v>
      </c>
      <c r="B2645" t="str">
        <f>"44032590      "</f>
        <v xml:space="preserve">44032590      </v>
      </c>
      <c r="C2645" t="s">
        <v>7234</v>
      </c>
      <c r="D2645" t="s">
        <v>7234</v>
      </c>
      <c r="E2645" t="s">
        <v>8279</v>
      </c>
      <c r="F2645" t="s">
        <v>8280</v>
      </c>
    </row>
    <row r="2646" spans="1:6" x14ac:dyDescent="0.25">
      <c r="A2646" t="s">
        <v>1677</v>
      </c>
      <c r="B2646" t="str">
        <f>"44039300      "</f>
        <v xml:space="preserve">44039300      </v>
      </c>
      <c r="C2646" t="s">
        <v>8281</v>
      </c>
      <c r="D2646" t="s">
        <v>8282</v>
      </c>
      <c r="E2646" t="s">
        <v>8283</v>
      </c>
      <c r="F2646" t="s">
        <v>8284</v>
      </c>
    </row>
    <row r="2647" spans="1:6" x14ac:dyDescent="0.25">
      <c r="A2647" t="s">
        <v>1677</v>
      </c>
      <c r="B2647" t="str">
        <f>"44039510      "</f>
        <v xml:space="preserve">44039510      </v>
      </c>
      <c r="C2647" t="s">
        <v>8268</v>
      </c>
      <c r="D2647" t="s">
        <v>8268</v>
      </c>
      <c r="E2647" t="s">
        <v>8285</v>
      </c>
      <c r="F2647" t="s">
        <v>8286</v>
      </c>
    </row>
    <row r="2648" spans="1:6" x14ac:dyDescent="0.25">
      <c r="A2648" t="s">
        <v>1677</v>
      </c>
      <c r="B2648" t="str">
        <f>"44039590      "</f>
        <v xml:space="preserve">44039590      </v>
      </c>
      <c r="C2648" t="s">
        <v>7234</v>
      </c>
      <c r="D2648" t="s">
        <v>7234</v>
      </c>
      <c r="E2648" t="s">
        <v>8287</v>
      </c>
      <c r="F2648" t="s">
        <v>8288</v>
      </c>
    </row>
    <row r="2649" spans="1:6" x14ac:dyDescent="0.25">
      <c r="A2649" t="s">
        <v>1677</v>
      </c>
      <c r="B2649" t="str">
        <f>"44072915      "</f>
        <v xml:space="preserve">44072915      </v>
      </c>
      <c r="C2649" t="s">
        <v>8289</v>
      </c>
      <c r="D2649" t="s">
        <v>8289</v>
      </c>
      <c r="E2649" t="s">
        <v>8290</v>
      </c>
      <c r="F2649" t="s">
        <v>8291</v>
      </c>
    </row>
    <row r="2650" spans="1:6" x14ac:dyDescent="0.25">
      <c r="A2650" t="s">
        <v>1677</v>
      </c>
      <c r="B2650" t="str">
        <f>"44072920      "</f>
        <v xml:space="preserve">44072920      </v>
      </c>
      <c r="C2650" t="s">
        <v>8292</v>
      </c>
      <c r="D2650" t="s">
        <v>8292</v>
      </c>
      <c r="E2650" t="s">
        <v>8293</v>
      </c>
      <c r="F2650" t="s">
        <v>8294</v>
      </c>
    </row>
    <row r="2651" spans="1:6" x14ac:dyDescent="0.25">
      <c r="A2651" t="s">
        <v>1677</v>
      </c>
      <c r="B2651" t="str">
        <f>"44072983      "</f>
        <v xml:space="preserve">44072983      </v>
      </c>
      <c r="C2651" t="s">
        <v>8295</v>
      </c>
      <c r="D2651" t="s">
        <v>8295</v>
      </c>
      <c r="E2651" t="s">
        <v>8296</v>
      </c>
      <c r="F2651" t="s">
        <v>8297</v>
      </c>
    </row>
    <row r="2652" spans="1:6" x14ac:dyDescent="0.25">
      <c r="A2652" t="s">
        <v>1677</v>
      </c>
      <c r="B2652" t="str">
        <f>"44072985      "</f>
        <v xml:space="preserve">44072985      </v>
      </c>
      <c r="C2652" t="s">
        <v>8298</v>
      </c>
      <c r="D2652" t="s">
        <v>8298</v>
      </c>
      <c r="E2652" t="s">
        <v>8299</v>
      </c>
      <c r="F2652" t="s">
        <v>8300</v>
      </c>
    </row>
    <row r="2653" spans="1:6" x14ac:dyDescent="0.25">
      <c r="A2653" t="s">
        <v>1677</v>
      </c>
      <c r="B2653" t="str">
        <f>"44072995      "</f>
        <v xml:space="preserve">44072995      </v>
      </c>
      <c r="C2653" t="s">
        <v>7234</v>
      </c>
      <c r="D2653" t="s">
        <v>7234</v>
      </c>
      <c r="E2653" t="s">
        <v>8301</v>
      </c>
      <c r="F2653" t="s">
        <v>8302</v>
      </c>
    </row>
    <row r="2654" spans="1:6" x14ac:dyDescent="0.25">
      <c r="A2654" t="s">
        <v>1677</v>
      </c>
      <c r="B2654" t="str">
        <f>"44101110      "</f>
        <v xml:space="preserve">44101110      </v>
      </c>
      <c r="C2654" t="s">
        <v>8303</v>
      </c>
      <c r="D2654" t="s">
        <v>8304</v>
      </c>
      <c r="E2654" t="s">
        <v>8305</v>
      </c>
      <c r="F2654" t="s">
        <v>8306</v>
      </c>
    </row>
    <row r="2655" spans="1:6" x14ac:dyDescent="0.25">
      <c r="A2655" t="s">
        <v>1677</v>
      </c>
      <c r="B2655" t="str">
        <f>"44101210      "</f>
        <v xml:space="preserve">44101210      </v>
      </c>
      <c r="C2655" t="s">
        <v>8303</v>
      </c>
      <c r="D2655" t="s">
        <v>8304</v>
      </c>
      <c r="E2655" t="s">
        <v>8307</v>
      </c>
      <c r="F2655" t="s">
        <v>8308</v>
      </c>
    </row>
    <row r="2656" spans="1:6" x14ac:dyDescent="0.25">
      <c r="A2656" t="s">
        <v>1677</v>
      </c>
      <c r="B2656" t="str">
        <f>"44111210      "</f>
        <v xml:space="preserve">44111210      </v>
      </c>
      <c r="C2656" t="s">
        <v>8309</v>
      </c>
      <c r="D2656" t="s">
        <v>8310</v>
      </c>
      <c r="E2656" t="s">
        <v>8311</v>
      </c>
      <c r="F2656" t="s">
        <v>8312</v>
      </c>
    </row>
    <row r="2657" spans="1:6" x14ac:dyDescent="0.25">
      <c r="A2657" t="s">
        <v>1677</v>
      </c>
      <c r="B2657" t="str">
        <f>"44111310      "</f>
        <v xml:space="preserve">44111310      </v>
      </c>
      <c r="C2657" t="s">
        <v>8309</v>
      </c>
      <c r="D2657" t="s">
        <v>8310</v>
      </c>
      <c r="E2657" t="s">
        <v>8313</v>
      </c>
      <c r="F2657" t="s">
        <v>8314</v>
      </c>
    </row>
    <row r="2658" spans="1:6" x14ac:dyDescent="0.25">
      <c r="A2658" t="s">
        <v>1677</v>
      </c>
      <c r="B2658" t="str">
        <f>"44111410      "</f>
        <v xml:space="preserve">44111410      </v>
      </c>
      <c r="C2658" t="s">
        <v>8309</v>
      </c>
      <c r="D2658" t="s">
        <v>8310</v>
      </c>
      <c r="E2658" t="s">
        <v>8315</v>
      </c>
      <c r="F2658" t="s">
        <v>8316</v>
      </c>
    </row>
    <row r="2659" spans="1:6" x14ac:dyDescent="0.25">
      <c r="A2659" t="s">
        <v>1677</v>
      </c>
      <c r="B2659" t="str">
        <f>"44119210      "</f>
        <v xml:space="preserve">44119210      </v>
      </c>
      <c r="C2659" t="s">
        <v>8309</v>
      </c>
      <c r="D2659" t="s">
        <v>8310</v>
      </c>
      <c r="E2659" t="s">
        <v>8317</v>
      </c>
      <c r="F2659" t="s">
        <v>8318</v>
      </c>
    </row>
    <row r="2660" spans="1:6" x14ac:dyDescent="0.25">
      <c r="A2660" t="s">
        <v>1677</v>
      </c>
      <c r="B2660" t="str">
        <f>"44119410      "</f>
        <v xml:space="preserve">44119410      </v>
      </c>
      <c r="C2660" t="s">
        <v>8309</v>
      </c>
      <c r="D2660" t="s">
        <v>8310</v>
      </c>
      <c r="E2660" t="s">
        <v>8319</v>
      </c>
      <c r="F2660" t="s">
        <v>8320</v>
      </c>
    </row>
    <row r="2661" spans="1:6" x14ac:dyDescent="0.25">
      <c r="A2661" t="s">
        <v>1677</v>
      </c>
      <c r="B2661" t="str">
        <f>"44219999      "</f>
        <v xml:space="preserve">44219999      </v>
      </c>
      <c r="C2661" t="s">
        <v>6775</v>
      </c>
      <c r="D2661" t="s">
        <v>6775</v>
      </c>
      <c r="E2661" t="s">
        <v>8321</v>
      </c>
      <c r="F2661" t="s">
        <v>8322</v>
      </c>
    </row>
    <row r="2662" spans="1:6" x14ac:dyDescent="0.25">
      <c r="A2662" t="s">
        <v>1677</v>
      </c>
      <c r="B2662" t="str">
        <f>"57031000      "</f>
        <v xml:space="preserve">57031000      </v>
      </c>
      <c r="C2662" t="s">
        <v>8323</v>
      </c>
      <c r="D2662" t="s">
        <v>8323</v>
      </c>
      <c r="E2662" t="s">
        <v>8324</v>
      </c>
      <c r="F2662" t="s">
        <v>8325</v>
      </c>
    </row>
    <row r="2663" spans="1:6" x14ac:dyDescent="0.25">
      <c r="A2663" t="s">
        <v>1677</v>
      </c>
      <c r="B2663" t="str">
        <f>"57039020      "</f>
        <v xml:space="preserve">57039020      </v>
      </c>
      <c r="C2663" t="s">
        <v>8326</v>
      </c>
      <c r="D2663" t="s">
        <v>8326</v>
      </c>
      <c r="E2663" t="s">
        <v>8327</v>
      </c>
      <c r="F2663" t="s">
        <v>8328</v>
      </c>
    </row>
    <row r="2664" spans="1:6" x14ac:dyDescent="0.25">
      <c r="A2664" t="s">
        <v>1677</v>
      </c>
      <c r="B2664" t="str">
        <f>"57039080      "</f>
        <v xml:space="preserve">57039080      </v>
      </c>
      <c r="C2664" t="s">
        <v>6775</v>
      </c>
      <c r="D2664" t="s">
        <v>6775</v>
      </c>
      <c r="E2664" t="s">
        <v>8329</v>
      </c>
      <c r="F2664" t="s">
        <v>8330</v>
      </c>
    </row>
    <row r="2665" spans="1:6" x14ac:dyDescent="0.25">
      <c r="A2665" t="s">
        <v>1677</v>
      </c>
      <c r="B2665" t="str">
        <f>"59011000      "</f>
        <v xml:space="preserve">59011000      </v>
      </c>
      <c r="C2665" t="s">
        <v>8331</v>
      </c>
      <c r="D2665" t="s">
        <v>8331</v>
      </c>
      <c r="E2665" t="s">
        <v>8332</v>
      </c>
      <c r="F2665" t="s">
        <v>8333</v>
      </c>
    </row>
    <row r="2666" spans="1:6" x14ac:dyDescent="0.25">
      <c r="A2666" t="s">
        <v>1677</v>
      </c>
      <c r="B2666" t="str">
        <f>"59019000      "</f>
        <v xml:space="preserve">59019000      </v>
      </c>
      <c r="C2666" t="s">
        <v>6775</v>
      </c>
      <c r="D2666" t="s">
        <v>6775</v>
      </c>
      <c r="E2666" t="s">
        <v>8334</v>
      </c>
      <c r="F2666" t="s">
        <v>8335</v>
      </c>
    </row>
    <row r="2667" spans="1:6" x14ac:dyDescent="0.25">
      <c r="A2667" t="s">
        <v>1677</v>
      </c>
      <c r="B2667" t="str">
        <f>"59021010      "</f>
        <v xml:space="preserve">59021010      </v>
      </c>
      <c r="C2667" t="s">
        <v>8336</v>
      </c>
      <c r="D2667" t="s">
        <v>8336</v>
      </c>
      <c r="E2667" t="s">
        <v>8337</v>
      </c>
      <c r="F2667" t="s">
        <v>8338</v>
      </c>
    </row>
    <row r="2668" spans="1:6" x14ac:dyDescent="0.25">
      <c r="A2668" t="s">
        <v>1677</v>
      </c>
      <c r="B2668" t="str">
        <f>"59021090      "</f>
        <v xml:space="preserve">59021090      </v>
      </c>
      <c r="C2668" t="s">
        <v>6775</v>
      </c>
      <c r="D2668" t="s">
        <v>6775</v>
      </c>
      <c r="E2668" t="s">
        <v>8339</v>
      </c>
      <c r="F2668" t="s">
        <v>8340</v>
      </c>
    </row>
    <row r="2669" spans="1:6" x14ac:dyDescent="0.25">
      <c r="A2669" t="s">
        <v>1677</v>
      </c>
      <c r="B2669" t="str">
        <f>"59022010      "</f>
        <v xml:space="preserve">59022010      </v>
      </c>
      <c r="C2669" t="s">
        <v>8336</v>
      </c>
      <c r="D2669" t="s">
        <v>8336</v>
      </c>
      <c r="E2669" t="s">
        <v>8341</v>
      </c>
      <c r="F2669" t="s">
        <v>8342</v>
      </c>
    </row>
    <row r="2670" spans="1:6" x14ac:dyDescent="0.25">
      <c r="A2670" t="s">
        <v>1677</v>
      </c>
      <c r="B2670" t="str">
        <f>"59022090      "</f>
        <v xml:space="preserve">59022090      </v>
      </c>
      <c r="C2670" t="s">
        <v>6775</v>
      </c>
      <c r="D2670" t="s">
        <v>6775</v>
      </c>
      <c r="E2670" t="s">
        <v>8343</v>
      </c>
      <c r="F2670" t="s">
        <v>8344</v>
      </c>
    </row>
    <row r="2671" spans="1:6" x14ac:dyDescent="0.25">
      <c r="A2671" t="s">
        <v>1677</v>
      </c>
      <c r="B2671" t="str">
        <f>"59029010      "</f>
        <v xml:space="preserve">59029010      </v>
      </c>
      <c r="C2671" t="s">
        <v>8336</v>
      </c>
      <c r="D2671" t="s">
        <v>8336</v>
      </c>
      <c r="E2671" t="s">
        <v>8345</v>
      </c>
      <c r="F2671" t="s">
        <v>8346</v>
      </c>
    </row>
    <row r="2672" spans="1:6" x14ac:dyDescent="0.25">
      <c r="A2672" t="s">
        <v>1677</v>
      </c>
      <c r="B2672" t="str">
        <f>"59029090      "</f>
        <v xml:space="preserve">59029090      </v>
      </c>
      <c r="C2672" t="s">
        <v>6775</v>
      </c>
      <c r="D2672" t="s">
        <v>6775</v>
      </c>
      <c r="E2672" t="s">
        <v>8347</v>
      </c>
      <c r="F2672" t="s">
        <v>8348</v>
      </c>
    </row>
    <row r="2673" spans="1:6" x14ac:dyDescent="0.25">
      <c r="A2673" t="s">
        <v>1677</v>
      </c>
      <c r="B2673" t="str">
        <f>"59031010      "</f>
        <v xml:space="preserve">59031010      </v>
      </c>
      <c r="C2673" t="s">
        <v>8349</v>
      </c>
      <c r="D2673" t="s">
        <v>8349</v>
      </c>
      <c r="E2673" t="s">
        <v>8350</v>
      </c>
      <c r="F2673" t="s">
        <v>8351</v>
      </c>
    </row>
    <row r="2674" spans="1:6" x14ac:dyDescent="0.25">
      <c r="A2674" t="s">
        <v>1677</v>
      </c>
      <c r="B2674" t="str">
        <f>"59031090      "</f>
        <v xml:space="preserve">59031090      </v>
      </c>
      <c r="C2674" t="s">
        <v>8352</v>
      </c>
      <c r="D2674" t="s">
        <v>8352</v>
      </c>
      <c r="E2674" t="s">
        <v>8353</v>
      </c>
      <c r="F2674" t="s">
        <v>8354</v>
      </c>
    </row>
    <row r="2675" spans="1:6" x14ac:dyDescent="0.25">
      <c r="A2675" t="s">
        <v>1677</v>
      </c>
      <c r="B2675" t="str">
        <f>"59032010      "</f>
        <v xml:space="preserve">59032010      </v>
      </c>
      <c r="C2675" t="s">
        <v>8349</v>
      </c>
      <c r="D2675" t="s">
        <v>8349</v>
      </c>
      <c r="E2675" t="s">
        <v>8355</v>
      </c>
      <c r="F2675" t="s">
        <v>8356</v>
      </c>
    </row>
    <row r="2676" spans="1:6" x14ac:dyDescent="0.25">
      <c r="A2676" t="s">
        <v>1677</v>
      </c>
      <c r="B2676" t="str">
        <f>"59032090      "</f>
        <v xml:space="preserve">59032090      </v>
      </c>
      <c r="C2676" t="s">
        <v>8352</v>
      </c>
      <c r="D2676" t="s">
        <v>8352</v>
      </c>
      <c r="E2676" t="s">
        <v>8357</v>
      </c>
      <c r="F2676" t="s">
        <v>8358</v>
      </c>
    </row>
    <row r="2677" spans="1:6" x14ac:dyDescent="0.25">
      <c r="A2677" t="s">
        <v>1677</v>
      </c>
      <c r="B2677" t="str">
        <f>"59039010      "</f>
        <v xml:space="preserve">59039010      </v>
      </c>
      <c r="C2677" t="s">
        <v>8349</v>
      </c>
      <c r="D2677" t="s">
        <v>8349</v>
      </c>
      <c r="E2677" t="s">
        <v>8359</v>
      </c>
      <c r="F2677" t="s">
        <v>8360</v>
      </c>
    </row>
    <row r="2678" spans="1:6" x14ac:dyDescent="0.25">
      <c r="A2678" t="s">
        <v>1677</v>
      </c>
      <c r="B2678" t="str">
        <f>"59039091      "</f>
        <v xml:space="preserve">59039091      </v>
      </c>
      <c r="C2678" t="s">
        <v>8361</v>
      </c>
      <c r="D2678" t="s">
        <v>8361</v>
      </c>
      <c r="E2678" t="s">
        <v>8362</v>
      </c>
      <c r="F2678" t="s">
        <v>8363</v>
      </c>
    </row>
    <row r="2679" spans="1:6" x14ac:dyDescent="0.25">
      <c r="A2679" t="s">
        <v>1677</v>
      </c>
      <c r="B2679" t="str">
        <f>"59039099      "</f>
        <v xml:space="preserve">59039099      </v>
      </c>
      <c r="C2679" t="s">
        <v>6775</v>
      </c>
      <c r="D2679" t="s">
        <v>6775</v>
      </c>
      <c r="E2679" t="s">
        <v>8364</v>
      </c>
      <c r="F2679" t="s">
        <v>8365</v>
      </c>
    </row>
    <row r="2680" spans="1:6" x14ac:dyDescent="0.25">
      <c r="A2680" t="s">
        <v>1677</v>
      </c>
      <c r="B2680" t="str">
        <f>"59041000      "</f>
        <v xml:space="preserve">59041000      </v>
      </c>
      <c r="C2680" t="s">
        <v>8366</v>
      </c>
      <c r="D2680" t="s">
        <v>8366</v>
      </c>
      <c r="E2680" t="s">
        <v>8367</v>
      </c>
      <c r="F2680" t="s">
        <v>8368</v>
      </c>
    </row>
    <row r="2681" spans="1:6" x14ac:dyDescent="0.25">
      <c r="A2681" t="s">
        <v>1677</v>
      </c>
      <c r="B2681" t="str">
        <f>"59049000      "</f>
        <v xml:space="preserve">59049000      </v>
      </c>
      <c r="C2681" t="s">
        <v>6775</v>
      </c>
      <c r="D2681" t="s">
        <v>6775</v>
      </c>
      <c r="E2681" t="s">
        <v>8369</v>
      </c>
      <c r="F2681" t="s">
        <v>8370</v>
      </c>
    </row>
    <row r="2682" spans="1:6" x14ac:dyDescent="0.25">
      <c r="A2682" t="s">
        <v>1677</v>
      </c>
      <c r="B2682" t="str">
        <f>"59050010      "</f>
        <v xml:space="preserve">59050010      </v>
      </c>
      <c r="C2682" t="s">
        <v>8371</v>
      </c>
      <c r="D2682" t="s">
        <v>8371</v>
      </c>
      <c r="E2682" t="s">
        <v>8372</v>
      </c>
      <c r="F2682" t="s">
        <v>8373</v>
      </c>
    </row>
    <row r="2683" spans="1:6" x14ac:dyDescent="0.25">
      <c r="A2683" t="s">
        <v>1677</v>
      </c>
      <c r="B2683" t="str">
        <f>"59050030      "</f>
        <v xml:space="preserve">59050030      </v>
      </c>
      <c r="C2683" t="s">
        <v>8374</v>
      </c>
      <c r="D2683" t="s">
        <v>8374</v>
      </c>
      <c r="E2683" t="s">
        <v>8375</v>
      </c>
      <c r="F2683" t="s">
        <v>8376</v>
      </c>
    </row>
    <row r="2684" spans="1:6" x14ac:dyDescent="0.25">
      <c r="A2684" t="s">
        <v>1677</v>
      </c>
      <c r="B2684" t="str">
        <f>"59050050      "</f>
        <v xml:space="preserve">59050050      </v>
      </c>
      <c r="C2684" t="s">
        <v>8377</v>
      </c>
      <c r="D2684" t="s">
        <v>8377</v>
      </c>
      <c r="E2684" t="s">
        <v>8378</v>
      </c>
      <c r="F2684" t="s">
        <v>8379</v>
      </c>
    </row>
    <row r="2685" spans="1:6" x14ac:dyDescent="0.25">
      <c r="A2685" t="s">
        <v>1677</v>
      </c>
      <c r="B2685" t="str">
        <f>"59050070      "</f>
        <v xml:space="preserve">59050070      </v>
      </c>
      <c r="C2685" t="s">
        <v>8380</v>
      </c>
      <c r="D2685" t="s">
        <v>8380</v>
      </c>
      <c r="E2685" t="s">
        <v>8381</v>
      </c>
      <c r="F2685" t="s">
        <v>8382</v>
      </c>
    </row>
    <row r="2686" spans="1:6" x14ac:dyDescent="0.25">
      <c r="A2686" t="s">
        <v>1677</v>
      </c>
      <c r="B2686" t="str">
        <f>"59050090      "</f>
        <v xml:space="preserve">59050090      </v>
      </c>
      <c r="C2686" t="s">
        <v>6775</v>
      </c>
      <c r="D2686" t="s">
        <v>6775</v>
      </c>
      <c r="E2686" t="s">
        <v>8383</v>
      </c>
      <c r="F2686" t="s">
        <v>8384</v>
      </c>
    </row>
    <row r="2687" spans="1:6" x14ac:dyDescent="0.25">
      <c r="A2687" t="s">
        <v>1677</v>
      </c>
      <c r="B2687" t="str">
        <f>"59061000      "</f>
        <v xml:space="preserve">59061000      </v>
      </c>
      <c r="C2687" t="s">
        <v>8385</v>
      </c>
      <c r="D2687" t="s">
        <v>8385</v>
      </c>
      <c r="E2687" t="s">
        <v>8386</v>
      </c>
      <c r="F2687" t="s">
        <v>8387</v>
      </c>
    </row>
    <row r="2688" spans="1:6" x14ac:dyDescent="0.25">
      <c r="A2688" t="s">
        <v>1677</v>
      </c>
      <c r="B2688" t="str">
        <f>"59069100      "</f>
        <v xml:space="preserve">59069100      </v>
      </c>
      <c r="C2688" t="s">
        <v>8388</v>
      </c>
      <c r="D2688" t="s">
        <v>8388</v>
      </c>
      <c r="E2688" t="s">
        <v>8389</v>
      </c>
      <c r="F2688" t="s">
        <v>8390</v>
      </c>
    </row>
    <row r="2689" spans="1:6" x14ac:dyDescent="0.25">
      <c r="A2689" t="s">
        <v>1677</v>
      </c>
      <c r="B2689" t="str">
        <f>"59069910      "</f>
        <v xml:space="preserve">59069910      </v>
      </c>
      <c r="C2689" t="s">
        <v>8391</v>
      </c>
      <c r="D2689" t="s">
        <v>8392</v>
      </c>
      <c r="E2689" t="s">
        <v>8393</v>
      </c>
      <c r="F2689" t="s">
        <v>8394</v>
      </c>
    </row>
    <row r="2690" spans="1:6" x14ac:dyDescent="0.25">
      <c r="A2690" t="s">
        <v>1677</v>
      </c>
      <c r="B2690" t="str">
        <f>"59069990      "</f>
        <v xml:space="preserve">59069990      </v>
      </c>
      <c r="C2690" t="s">
        <v>6775</v>
      </c>
      <c r="D2690" t="s">
        <v>6775</v>
      </c>
      <c r="E2690" t="s">
        <v>8395</v>
      </c>
      <c r="F2690" t="s">
        <v>8396</v>
      </c>
    </row>
    <row r="2691" spans="1:6" x14ac:dyDescent="0.25">
      <c r="A2691" t="s">
        <v>1677</v>
      </c>
      <c r="B2691" t="str">
        <f>"59070000      "</f>
        <v xml:space="preserve">59070000      </v>
      </c>
      <c r="C2691" t="s">
        <v>8397</v>
      </c>
      <c r="D2691" t="s">
        <v>8397</v>
      </c>
      <c r="E2691" t="s">
        <v>8398</v>
      </c>
      <c r="F2691" t="s">
        <v>8399</v>
      </c>
    </row>
    <row r="2692" spans="1:6" x14ac:dyDescent="0.25">
      <c r="A2692" t="s">
        <v>1677</v>
      </c>
      <c r="B2692" t="str">
        <f>"59080000      "</f>
        <v xml:space="preserve">59080000      </v>
      </c>
      <c r="C2692" t="s">
        <v>8400</v>
      </c>
      <c r="D2692" t="s">
        <v>8400</v>
      </c>
      <c r="E2692" t="s">
        <v>8401</v>
      </c>
      <c r="F2692" t="s">
        <v>8402</v>
      </c>
    </row>
    <row r="2693" spans="1:6" x14ac:dyDescent="0.25">
      <c r="A2693" t="s">
        <v>1677</v>
      </c>
      <c r="B2693" t="str">
        <f>"59090010      "</f>
        <v xml:space="preserve">59090010      </v>
      </c>
      <c r="C2693" t="s">
        <v>8403</v>
      </c>
      <c r="D2693" t="s">
        <v>8403</v>
      </c>
      <c r="E2693" t="s">
        <v>8404</v>
      </c>
      <c r="F2693" t="s">
        <v>8405</v>
      </c>
    </row>
    <row r="2694" spans="1:6" x14ac:dyDescent="0.25">
      <c r="A2694" t="s">
        <v>1677</v>
      </c>
      <c r="B2694" t="str">
        <f>"59090090      "</f>
        <v xml:space="preserve">59090090      </v>
      </c>
      <c r="C2694" t="s">
        <v>8406</v>
      </c>
      <c r="D2694" t="s">
        <v>8406</v>
      </c>
      <c r="E2694" t="s">
        <v>8407</v>
      </c>
      <c r="F2694" t="s">
        <v>8408</v>
      </c>
    </row>
    <row r="2695" spans="1:6" x14ac:dyDescent="0.25">
      <c r="A2695" t="s">
        <v>1677</v>
      </c>
      <c r="B2695" t="str">
        <f>"59100000      "</f>
        <v xml:space="preserve">59100000      </v>
      </c>
      <c r="C2695" t="s">
        <v>8409</v>
      </c>
      <c r="D2695" t="s">
        <v>8410</v>
      </c>
      <c r="E2695" t="s">
        <v>8411</v>
      </c>
      <c r="F2695" t="s">
        <v>8412</v>
      </c>
    </row>
    <row r="2696" spans="1:6" x14ac:dyDescent="0.25">
      <c r="A2696" t="s">
        <v>1677</v>
      </c>
      <c r="B2696" t="str">
        <f>"59111000      "</f>
        <v xml:space="preserve">59111000      </v>
      </c>
      <c r="C2696" t="s">
        <v>8413</v>
      </c>
      <c r="D2696" t="s">
        <v>8414</v>
      </c>
      <c r="E2696" t="s">
        <v>8415</v>
      </c>
      <c r="F2696" t="s">
        <v>8416</v>
      </c>
    </row>
    <row r="2697" spans="1:6" x14ac:dyDescent="0.25">
      <c r="A2697" t="s">
        <v>1677</v>
      </c>
      <c r="B2697" t="str">
        <f>"59112000      "</f>
        <v xml:space="preserve">59112000      </v>
      </c>
      <c r="C2697" t="s">
        <v>8417</v>
      </c>
      <c r="D2697" t="s">
        <v>8417</v>
      </c>
      <c r="E2697" t="s">
        <v>8418</v>
      </c>
      <c r="F2697" t="s">
        <v>8419</v>
      </c>
    </row>
    <row r="2698" spans="1:6" x14ac:dyDescent="0.25">
      <c r="A2698" t="s">
        <v>1677</v>
      </c>
      <c r="B2698" t="str">
        <f>"59113111      "</f>
        <v xml:space="preserve">59113111      </v>
      </c>
      <c r="C2698" t="s">
        <v>8420</v>
      </c>
      <c r="D2698" t="s">
        <v>8420</v>
      </c>
      <c r="E2698" t="s">
        <v>8421</v>
      </c>
      <c r="F2698" t="s">
        <v>8422</v>
      </c>
    </row>
    <row r="2699" spans="1:6" x14ac:dyDescent="0.25">
      <c r="A2699" t="s">
        <v>1677</v>
      </c>
      <c r="B2699" t="str">
        <f>"59113119      "</f>
        <v xml:space="preserve">59113119      </v>
      </c>
      <c r="C2699" t="s">
        <v>6775</v>
      </c>
      <c r="D2699" t="s">
        <v>6775</v>
      </c>
      <c r="E2699" t="s">
        <v>8423</v>
      </c>
      <c r="F2699" t="s">
        <v>8424</v>
      </c>
    </row>
    <row r="2700" spans="1:6" x14ac:dyDescent="0.25">
      <c r="A2700" t="s">
        <v>1677</v>
      </c>
      <c r="B2700" t="str">
        <f>"59113190      "</f>
        <v xml:space="preserve">59113190      </v>
      </c>
      <c r="C2700" t="s">
        <v>8406</v>
      </c>
      <c r="D2700" t="s">
        <v>8406</v>
      </c>
      <c r="E2700" t="s">
        <v>8425</v>
      </c>
      <c r="F2700" t="s">
        <v>8426</v>
      </c>
    </row>
    <row r="2701" spans="1:6" x14ac:dyDescent="0.25">
      <c r="A2701" t="s">
        <v>1677</v>
      </c>
      <c r="B2701" t="str">
        <f>"59113211      "</f>
        <v xml:space="preserve">59113211      </v>
      </c>
      <c r="C2701" t="s">
        <v>8427</v>
      </c>
      <c r="D2701" t="s">
        <v>8427</v>
      </c>
      <c r="E2701" t="s">
        <v>8428</v>
      </c>
      <c r="F2701" t="s">
        <v>8429</v>
      </c>
    </row>
    <row r="2702" spans="1:6" x14ac:dyDescent="0.25">
      <c r="A2702" t="s">
        <v>1677</v>
      </c>
      <c r="B2702" t="str">
        <f>"59113219      "</f>
        <v xml:space="preserve">59113219      </v>
      </c>
      <c r="C2702" t="s">
        <v>6775</v>
      </c>
      <c r="D2702" t="s">
        <v>6775</v>
      </c>
      <c r="E2702" t="s">
        <v>8430</v>
      </c>
      <c r="F2702" t="s">
        <v>8431</v>
      </c>
    </row>
    <row r="2703" spans="1:6" x14ac:dyDescent="0.25">
      <c r="A2703" t="s">
        <v>1677</v>
      </c>
      <c r="B2703" t="str">
        <f>"59113290      "</f>
        <v xml:space="preserve">59113290      </v>
      </c>
      <c r="C2703" t="s">
        <v>8406</v>
      </c>
      <c r="D2703" t="s">
        <v>8406</v>
      </c>
      <c r="E2703" t="s">
        <v>8432</v>
      </c>
      <c r="F2703" t="s">
        <v>8433</v>
      </c>
    </row>
    <row r="2704" spans="1:6" x14ac:dyDescent="0.25">
      <c r="A2704" t="s">
        <v>1677</v>
      </c>
      <c r="B2704" t="str">
        <f>"59114000      "</f>
        <v xml:space="preserve">59114000      </v>
      </c>
      <c r="C2704" t="s">
        <v>8434</v>
      </c>
      <c r="D2704" t="s">
        <v>8435</v>
      </c>
      <c r="E2704" t="s">
        <v>8436</v>
      </c>
      <c r="F2704" t="s">
        <v>8437</v>
      </c>
    </row>
    <row r="2705" spans="1:6" x14ac:dyDescent="0.25">
      <c r="A2705" t="s">
        <v>1677</v>
      </c>
      <c r="B2705" t="str">
        <f>"59119010      "</f>
        <v xml:space="preserve">59119010      </v>
      </c>
      <c r="C2705" t="s">
        <v>8438</v>
      </c>
      <c r="D2705" t="s">
        <v>8438</v>
      </c>
      <c r="E2705" t="s">
        <v>8439</v>
      </c>
      <c r="F2705" t="s">
        <v>8440</v>
      </c>
    </row>
    <row r="2706" spans="1:6" x14ac:dyDescent="0.25">
      <c r="A2706" t="s">
        <v>1677</v>
      </c>
      <c r="B2706" t="str">
        <f>"59119091      "</f>
        <v xml:space="preserve">59119091      </v>
      </c>
      <c r="C2706" t="s">
        <v>8441</v>
      </c>
      <c r="D2706" t="s">
        <v>8441</v>
      </c>
      <c r="E2706" t="s">
        <v>8442</v>
      </c>
      <c r="F2706" t="s">
        <v>8443</v>
      </c>
    </row>
    <row r="2707" spans="1:6" x14ac:dyDescent="0.25">
      <c r="A2707" t="s">
        <v>1677</v>
      </c>
      <c r="B2707" t="str">
        <f>"59119099      "</f>
        <v xml:space="preserve">59119099      </v>
      </c>
      <c r="C2707" t="s">
        <v>6775</v>
      </c>
      <c r="D2707" t="s">
        <v>6775</v>
      </c>
      <c r="E2707" t="s">
        <v>8444</v>
      </c>
      <c r="F2707" t="s">
        <v>8445</v>
      </c>
    </row>
    <row r="2708" spans="1:6" x14ac:dyDescent="0.25">
      <c r="A2708" t="s">
        <v>1677</v>
      </c>
      <c r="B2708" t="str">
        <f>"61161020      "</f>
        <v xml:space="preserve">61161020      </v>
      </c>
      <c r="C2708" t="s">
        <v>8446</v>
      </c>
      <c r="D2708" t="s">
        <v>8447</v>
      </c>
      <c r="E2708" t="s">
        <v>8448</v>
      </c>
      <c r="F2708" t="s">
        <v>8449</v>
      </c>
    </row>
    <row r="2709" spans="1:6" x14ac:dyDescent="0.25">
      <c r="A2709" t="s">
        <v>1677</v>
      </c>
      <c r="B2709" t="str">
        <f>"61161080      "</f>
        <v xml:space="preserve">61161080      </v>
      </c>
      <c r="C2709" t="s">
        <v>6775</v>
      </c>
      <c r="D2709" t="s">
        <v>6775</v>
      </c>
      <c r="E2709" t="s">
        <v>8450</v>
      </c>
      <c r="F2709" t="s">
        <v>8451</v>
      </c>
    </row>
    <row r="2710" spans="1:6" x14ac:dyDescent="0.25">
      <c r="A2710" t="s">
        <v>1677</v>
      </c>
      <c r="B2710" t="str">
        <f>"62102000      "</f>
        <v xml:space="preserve">62102000      </v>
      </c>
      <c r="C2710" t="s">
        <v>8452</v>
      </c>
      <c r="D2710" t="s">
        <v>8453</v>
      </c>
      <c r="E2710" t="s">
        <v>8454</v>
      </c>
      <c r="F2710" t="s">
        <v>8455</v>
      </c>
    </row>
    <row r="2711" spans="1:6" x14ac:dyDescent="0.25">
      <c r="A2711" t="s">
        <v>1677</v>
      </c>
      <c r="B2711" t="str">
        <f>"62103000      "</f>
        <v xml:space="preserve">62103000      </v>
      </c>
      <c r="C2711" t="s">
        <v>8456</v>
      </c>
      <c r="D2711" t="s">
        <v>8457</v>
      </c>
      <c r="E2711" t="s">
        <v>8458</v>
      </c>
      <c r="F2711" t="s">
        <v>8459</v>
      </c>
    </row>
    <row r="2712" spans="1:6" x14ac:dyDescent="0.25">
      <c r="A2712" t="s">
        <v>1677</v>
      </c>
      <c r="B2712" t="str">
        <f>"63061200      "</f>
        <v xml:space="preserve">63061200      </v>
      </c>
      <c r="C2712" t="s">
        <v>8403</v>
      </c>
      <c r="D2712" t="s">
        <v>8403</v>
      </c>
      <c r="E2712" t="s">
        <v>8460</v>
      </c>
      <c r="F2712" t="s">
        <v>8461</v>
      </c>
    </row>
    <row r="2713" spans="1:6" x14ac:dyDescent="0.25">
      <c r="A2713" t="s">
        <v>1677</v>
      </c>
      <c r="B2713" t="str">
        <f>"63061900      "</f>
        <v xml:space="preserve">63061900      </v>
      </c>
      <c r="C2713" t="s">
        <v>8406</v>
      </c>
      <c r="D2713" t="s">
        <v>8406</v>
      </c>
      <c r="E2713" t="s">
        <v>8462</v>
      </c>
      <c r="F2713" t="s">
        <v>8463</v>
      </c>
    </row>
    <row r="2714" spans="1:6" x14ac:dyDescent="0.25">
      <c r="A2714" t="s">
        <v>1677</v>
      </c>
      <c r="B2714" t="str">
        <f>"63062200      "</f>
        <v xml:space="preserve">63062200      </v>
      </c>
      <c r="C2714" t="s">
        <v>8403</v>
      </c>
      <c r="D2714" t="s">
        <v>8403</v>
      </c>
      <c r="E2714" t="s">
        <v>8464</v>
      </c>
      <c r="F2714" t="s">
        <v>8465</v>
      </c>
    </row>
    <row r="2715" spans="1:6" x14ac:dyDescent="0.25">
      <c r="A2715" t="s">
        <v>1677</v>
      </c>
      <c r="B2715" t="str">
        <f>"63062900      "</f>
        <v xml:space="preserve">63062900      </v>
      </c>
      <c r="C2715" t="s">
        <v>8406</v>
      </c>
      <c r="D2715" t="s">
        <v>8406</v>
      </c>
      <c r="E2715" t="s">
        <v>8466</v>
      </c>
      <c r="F2715" t="s">
        <v>8467</v>
      </c>
    </row>
    <row r="2716" spans="1:6" x14ac:dyDescent="0.25">
      <c r="A2716" t="s">
        <v>1677</v>
      </c>
      <c r="B2716" t="str">
        <f>"63063000      "</f>
        <v xml:space="preserve">63063000      </v>
      </c>
      <c r="C2716" t="s">
        <v>8468</v>
      </c>
      <c r="D2716" t="s">
        <v>8468</v>
      </c>
      <c r="E2716" t="s">
        <v>8469</v>
      </c>
      <c r="F2716" t="s">
        <v>8470</v>
      </c>
    </row>
    <row r="2717" spans="1:6" x14ac:dyDescent="0.25">
      <c r="A2717" t="s">
        <v>1677</v>
      </c>
      <c r="B2717" t="str">
        <f>"63064000      "</f>
        <v xml:space="preserve">63064000      </v>
      </c>
      <c r="C2717" t="s">
        <v>8471</v>
      </c>
      <c r="D2717" t="s">
        <v>8471</v>
      </c>
      <c r="E2717" t="s">
        <v>8472</v>
      </c>
      <c r="F2717" t="s">
        <v>8473</v>
      </c>
    </row>
    <row r="2718" spans="1:6" x14ac:dyDescent="0.25">
      <c r="A2718" t="s">
        <v>1677</v>
      </c>
      <c r="B2718" t="str">
        <f>"63069000      "</f>
        <v xml:space="preserve">63069000      </v>
      </c>
      <c r="C2718" t="s">
        <v>6775</v>
      </c>
      <c r="D2718" t="s">
        <v>6775</v>
      </c>
      <c r="E2718" t="s">
        <v>8474</v>
      </c>
      <c r="F2718" t="s">
        <v>8475</v>
      </c>
    </row>
    <row r="2719" spans="1:6" x14ac:dyDescent="0.25">
      <c r="A2719" t="s">
        <v>1677</v>
      </c>
      <c r="B2719" t="str">
        <f>"63079093      "</f>
        <v xml:space="preserve">63079093      </v>
      </c>
      <c r="C2719" t="s">
        <v>8476</v>
      </c>
      <c r="D2719" t="s">
        <v>5845</v>
      </c>
      <c r="E2719" t="s">
        <v>8477</v>
      </c>
      <c r="F2719" t="s">
        <v>8478</v>
      </c>
    </row>
    <row r="2720" spans="1:6" x14ac:dyDescent="0.25">
      <c r="A2720" t="s">
        <v>1677</v>
      </c>
      <c r="B2720" t="str">
        <f>"68159100      "</f>
        <v xml:space="preserve">68159100      </v>
      </c>
      <c r="C2720" t="s">
        <v>8479</v>
      </c>
      <c r="D2720" t="s">
        <v>8480</v>
      </c>
      <c r="E2720" t="s">
        <v>8481</v>
      </c>
      <c r="F2720" t="s">
        <v>8482</v>
      </c>
    </row>
    <row r="2721" spans="1:6" x14ac:dyDescent="0.25">
      <c r="A2721" t="s">
        <v>1677</v>
      </c>
      <c r="B2721" t="str">
        <f>"69031000      "</f>
        <v xml:space="preserve">69031000      </v>
      </c>
      <c r="C2721" t="s">
        <v>8483</v>
      </c>
      <c r="D2721" t="s">
        <v>8484</v>
      </c>
      <c r="E2721" t="s">
        <v>8485</v>
      </c>
      <c r="F2721" t="s">
        <v>8486</v>
      </c>
    </row>
    <row r="2722" spans="1:6" x14ac:dyDescent="0.25">
      <c r="A2722" t="s">
        <v>1677</v>
      </c>
      <c r="B2722" t="str">
        <f>"69032010      "</f>
        <v xml:space="preserve">69032010      </v>
      </c>
      <c r="C2722" t="s">
        <v>8487</v>
      </c>
      <c r="D2722" t="s">
        <v>8487</v>
      </c>
      <c r="E2722" t="s">
        <v>8488</v>
      </c>
      <c r="F2722" t="s">
        <v>8489</v>
      </c>
    </row>
    <row r="2723" spans="1:6" x14ac:dyDescent="0.25">
      <c r="A2723" t="s">
        <v>1677</v>
      </c>
      <c r="B2723" t="str">
        <f>"69032090      "</f>
        <v xml:space="preserve">69032090      </v>
      </c>
      <c r="C2723" t="s">
        <v>8490</v>
      </c>
      <c r="D2723" t="s">
        <v>8490</v>
      </c>
      <c r="E2723" t="s">
        <v>8491</v>
      </c>
      <c r="F2723" t="s">
        <v>8492</v>
      </c>
    </row>
    <row r="2724" spans="1:6" x14ac:dyDescent="0.25">
      <c r="A2724" t="s">
        <v>1677</v>
      </c>
      <c r="B2724" t="str">
        <f>"69039010      "</f>
        <v xml:space="preserve">69039010      </v>
      </c>
      <c r="C2724" t="s">
        <v>8493</v>
      </c>
      <c r="D2724" t="s">
        <v>8493</v>
      </c>
      <c r="E2724" t="s">
        <v>8494</v>
      </c>
      <c r="F2724" t="s">
        <v>8495</v>
      </c>
    </row>
    <row r="2725" spans="1:6" x14ac:dyDescent="0.25">
      <c r="A2725" t="s">
        <v>1677</v>
      </c>
      <c r="B2725" t="str">
        <f>"69039090      "</f>
        <v xml:space="preserve">69039090      </v>
      </c>
      <c r="C2725" t="s">
        <v>6775</v>
      </c>
      <c r="D2725" t="s">
        <v>6775</v>
      </c>
      <c r="E2725" t="s">
        <v>8496</v>
      </c>
      <c r="F2725" t="s">
        <v>8497</v>
      </c>
    </row>
    <row r="2726" spans="1:6" x14ac:dyDescent="0.25">
      <c r="A2726" t="s">
        <v>1677</v>
      </c>
      <c r="B2726" t="str">
        <f>"70010010      "</f>
        <v xml:space="preserve">70010010      </v>
      </c>
      <c r="C2726" t="s">
        <v>8498</v>
      </c>
      <c r="D2726" t="s">
        <v>8498</v>
      </c>
      <c r="E2726" t="s">
        <v>8499</v>
      </c>
      <c r="F2726" t="s">
        <v>8500</v>
      </c>
    </row>
    <row r="2727" spans="1:6" x14ac:dyDescent="0.25">
      <c r="A2727" t="s">
        <v>1677</v>
      </c>
      <c r="B2727" t="str">
        <f>"70010091      "</f>
        <v xml:space="preserve">70010091      </v>
      </c>
      <c r="C2727" t="s">
        <v>8501</v>
      </c>
      <c r="D2727" t="s">
        <v>8501</v>
      </c>
      <c r="E2727" t="s">
        <v>8502</v>
      </c>
      <c r="F2727" t="s">
        <v>8503</v>
      </c>
    </row>
    <row r="2728" spans="1:6" x14ac:dyDescent="0.25">
      <c r="A2728" t="s">
        <v>1677</v>
      </c>
      <c r="B2728" t="str">
        <f>"70010099      "</f>
        <v xml:space="preserve">70010099      </v>
      </c>
      <c r="C2728" t="s">
        <v>7234</v>
      </c>
      <c r="D2728" t="s">
        <v>7234</v>
      </c>
      <c r="E2728" t="s">
        <v>8504</v>
      </c>
      <c r="F2728" t="s">
        <v>8505</v>
      </c>
    </row>
    <row r="2729" spans="1:6" x14ac:dyDescent="0.25">
      <c r="A2729" t="s">
        <v>1677</v>
      </c>
      <c r="B2729" t="str">
        <f>"70111000      "</f>
        <v xml:space="preserve">70111000      </v>
      </c>
      <c r="C2729" t="s">
        <v>8506</v>
      </c>
      <c r="D2729" t="s">
        <v>8506</v>
      </c>
      <c r="E2729" t="s">
        <v>8507</v>
      </c>
      <c r="F2729" t="s">
        <v>8508</v>
      </c>
    </row>
    <row r="2730" spans="1:6" x14ac:dyDescent="0.25">
      <c r="A2730" t="s">
        <v>1677</v>
      </c>
      <c r="B2730" t="str">
        <f>"70112000      "</f>
        <v xml:space="preserve">70112000      </v>
      </c>
      <c r="C2730" t="s">
        <v>8509</v>
      </c>
      <c r="D2730" t="s">
        <v>8509</v>
      </c>
      <c r="E2730" t="s">
        <v>8510</v>
      </c>
      <c r="F2730" t="s">
        <v>8511</v>
      </c>
    </row>
    <row r="2731" spans="1:6" x14ac:dyDescent="0.25">
      <c r="A2731" t="s">
        <v>1677</v>
      </c>
      <c r="B2731" t="str">
        <f>"70119000      "</f>
        <v xml:space="preserve">70119000      </v>
      </c>
      <c r="C2731" t="s">
        <v>6775</v>
      </c>
      <c r="D2731" t="s">
        <v>6775</v>
      </c>
      <c r="E2731" t="s">
        <v>8512</v>
      </c>
      <c r="F2731" t="s">
        <v>8513</v>
      </c>
    </row>
    <row r="2732" spans="1:6" x14ac:dyDescent="0.25">
      <c r="A2732" t="s">
        <v>1677</v>
      </c>
      <c r="B2732" t="str">
        <f>"70191100      "</f>
        <v xml:space="preserve">70191100      </v>
      </c>
      <c r="C2732" t="s">
        <v>8514</v>
      </c>
      <c r="D2732" t="s">
        <v>8515</v>
      </c>
      <c r="E2732" t="s">
        <v>8516</v>
      </c>
      <c r="F2732" t="s">
        <v>8517</v>
      </c>
    </row>
    <row r="2733" spans="1:6" x14ac:dyDescent="0.25">
      <c r="A2733" t="s">
        <v>1677</v>
      </c>
      <c r="B2733" t="str">
        <f>"70191200      "</f>
        <v xml:space="preserve">70191200      </v>
      </c>
      <c r="C2733" t="s">
        <v>8518</v>
      </c>
      <c r="D2733" t="s">
        <v>8518</v>
      </c>
      <c r="E2733" t="s">
        <v>8519</v>
      </c>
      <c r="F2733" t="s">
        <v>8520</v>
      </c>
    </row>
    <row r="2734" spans="1:6" x14ac:dyDescent="0.25">
      <c r="A2734" t="s">
        <v>1677</v>
      </c>
      <c r="B2734" t="str">
        <f>"70199000      "</f>
        <v xml:space="preserve">70199000      </v>
      </c>
      <c r="C2734" t="s">
        <v>6775</v>
      </c>
      <c r="D2734" t="s">
        <v>6775</v>
      </c>
      <c r="E2734" t="s">
        <v>8521</v>
      </c>
      <c r="F2734" t="s">
        <v>8522</v>
      </c>
    </row>
    <row r="2735" spans="1:6" x14ac:dyDescent="0.25">
      <c r="A2735" t="s">
        <v>1677</v>
      </c>
      <c r="B2735" t="str">
        <f>"71123000      "</f>
        <v xml:space="preserve">71123000      </v>
      </c>
      <c r="C2735" t="s">
        <v>8523</v>
      </c>
      <c r="D2735" t="s">
        <v>8523</v>
      </c>
      <c r="E2735" t="s">
        <v>8524</v>
      </c>
      <c r="F2735" t="s">
        <v>8525</v>
      </c>
    </row>
    <row r="2736" spans="1:6" x14ac:dyDescent="0.25">
      <c r="A2736" t="s">
        <v>1677</v>
      </c>
      <c r="B2736" t="str">
        <f>"71129100      "</f>
        <v xml:space="preserve">71129100      </v>
      </c>
      <c r="C2736" t="s">
        <v>8526</v>
      </c>
      <c r="D2736" t="s">
        <v>8526</v>
      </c>
      <c r="E2736" t="s">
        <v>8527</v>
      </c>
      <c r="F2736" t="s">
        <v>8528</v>
      </c>
    </row>
    <row r="2737" spans="1:6" x14ac:dyDescent="0.25">
      <c r="A2737" t="s">
        <v>1677</v>
      </c>
      <c r="B2737" t="str">
        <f>"71129200      "</f>
        <v xml:space="preserve">71129200      </v>
      </c>
      <c r="C2737" t="s">
        <v>8529</v>
      </c>
      <c r="D2737" t="s">
        <v>8529</v>
      </c>
      <c r="E2737" t="s">
        <v>8530</v>
      </c>
      <c r="F2737" t="s">
        <v>8531</v>
      </c>
    </row>
    <row r="2738" spans="1:6" x14ac:dyDescent="0.25">
      <c r="A2738" t="s">
        <v>1677</v>
      </c>
      <c r="B2738" t="str">
        <f>"71129900      "</f>
        <v xml:space="preserve">71129900      </v>
      </c>
      <c r="C2738" t="s">
        <v>6775</v>
      </c>
      <c r="D2738" t="s">
        <v>6775</v>
      </c>
      <c r="E2738" t="s">
        <v>8532</v>
      </c>
      <c r="F2738" t="s">
        <v>8533</v>
      </c>
    </row>
    <row r="2739" spans="1:6" x14ac:dyDescent="0.25">
      <c r="A2739" t="s">
        <v>1677</v>
      </c>
      <c r="B2739" t="str">
        <f>"76061191      "</f>
        <v xml:space="preserve">76061191      </v>
      </c>
      <c r="C2739" t="s">
        <v>8534</v>
      </c>
      <c r="D2739" t="s">
        <v>8535</v>
      </c>
      <c r="E2739" t="s">
        <v>8536</v>
      </c>
      <c r="F2739" t="s">
        <v>8537</v>
      </c>
    </row>
    <row r="2740" spans="1:6" x14ac:dyDescent="0.25">
      <c r="A2740" t="s">
        <v>1677</v>
      </c>
      <c r="B2740" t="str">
        <f>"76061193      "</f>
        <v xml:space="preserve">76061193      </v>
      </c>
      <c r="C2740" t="s">
        <v>8538</v>
      </c>
      <c r="D2740" t="s">
        <v>8539</v>
      </c>
      <c r="E2740" t="s">
        <v>8540</v>
      </c>
      <c r="F2740" t="s">
        <v>8541</v>
      </c>
    </row>
    <row r="2741" spans="1:6" x14ac:dyDescent="0.25">
      <c r="A2741" t="s">
        <v>1677</v>
      </c>
      <c r="B2741" t="str">
        <f>"76061199      "</f>
        <v xml:space="preserve">76061199      </v>
      </c>
      <c r="C2741" t="s">
        <v>8542</v>
      </c>
      <c r="D2741" t="s">
        <v>8543</v>
      </c>
      <c r="E2741" t="s">
        <v>8544</v>
      </c>
      <c r="F2741" t="s">
        <v>8545</v>
      </c>
    </row>
    <row r="2742" spans="1:6" x14ac:dyDescent="0.25">
      <c r="A2742" t="s">
        <v>1677</v>
      </c>
      <c r="B2742" t="str">
        <f>"81121200      "</f>
        <v xml:space="preserve">81121200      </v>
      </c>
      <c r="C2742" t="s">
        <v>8546</v>
      </c>
      <c r="D2742" t="s">
        <v>8546</v>
      </c>
      <c r="E2742" t="s">
        <v>8547</v>
      </c>
      <c r="F2742" t="s">
        <v>8548</v>
      </c>
    </row>
    <row r="2743" spans="1:6" x14ac:dyDescent="0.25">
      <c r="A2743" t="s">
        <v>1677</v>
      </c>
      <c r="B2743" t="str">
        <f>"81121300      "</f>
        <v xml:space="preserve">81121300      </v>
      </c>
      <c r="C2743" t="s">
        <v>8549</v>
      </c>
      <c r="D2743" t="s">
        <v>8549</v>
      </c>
      <c r="E2743" t="s">
        <v>8550</v>
      </c>
      <c r="F2743" t="s">
        <v>8551</v>
      </c>
    </row>
    <row r="2744" spans="1:6" x14ac:dyDescent="0.25">
      <c r="A2744" t="s">
        <v>1677</v>
      </c>
      <c r="B2744" t="str">
        <f>"81121900      "</f>
        <v xml:space="preserve">81121900      </v>
      </c>
      <c r="C2744" t="s">
        <v>6775</v>
      </c>
      <c r="D2744" t="s">
        <v>6775</v>
      </c>
      <c r="E2744" t="s">
        <v>8552</v>
      </c>
      <c r="F2744" t="s">
        <v>8553</v>
      </c>
    </row>
    <row r="2745" spans="1:6" x14ac:dyDescent="0.25">
      <c r="A2745" t="s">
        <v>1677</v>
      </c>
      <c r="B2745" t="str">
        <f>"81122110      "</f>
        <v xml:space="preserve">81122110      </v>
      </c>
      <c r="C2745" t="s">
        <v>8554</v>
      </c>
      <c r="D2745" t="s">
        <v>8554</v>
      </c>
      <c r="E2745" t="s">
        <v>8555</v>
      </c>
      <c r="F2745" t="s">
        <v>8556</v>
      </c>
    </row>
    <row r="2746" spans="1:6" x14ac:dyDescent="0.25">
      <c r="A2746" t="s">
        <v>1677</v>
      </c>
      <c r="B2746" t="str">
        <f>"81122190      "</f>
        <v xml:space="preserve">81122190      </v>
      </c>
      <c r="C2746" t="s">
        <v>6775</v>
      </c>
      <c r="D2746" t="s">
        <v>6775</v>
      </c>
      <c r="E2746" t="s">
        <v>8557</v>
      </c>
      <c r="F2746" t="s">
        <v>8558</v>
      </c>
    </row>
    <row r="2747" spans="1:6" x14ac:dyDescent="0.25">
      <c r="A2747" t="s">
        <v>1677</v>
      </c>
      <c r="B2747" t="str">
        <f>"81122200      "</f>
        <v xml:space="preserve">81122200      </v>
      </c>
      <c r="C2747" t="s">
        <v>8549</v>
      </c>
      <c r="D2747" t="s">
        <v>8549</v>
      </c>
      <c r="E2747" t="s">
        <v>8559</v>
      </c>
      <c r="F2747" t="s">
        <v>8560</v>
      </c>
    </row>
    <row r="2748" spans="1:6" x14ac:dyDescent="0.25">
      <c r="A2748" t="s">
        <v>1677</v>
      </c>
      <c r="B2748" t="str">
        <f>"81122900      "</f>
        <v xml:space="preserve">81122900      </v>
      </c>
      <c r="C2748" t="s">
        <v>6775</v>
      </c>
      <c r="D2748" t="s">
        <v>6775</v>
      </c>
      <c r="E2748" t="s">
        <v>8561</v>
      </c>
      <c r="F2748" t="s">
        <v>8562</v>
      </c>
    </row>
    <row r="2749" spans="1:6" x14ac:dyDescent="0.25">
      <c r="A2749" t="s">
        <v>1677</v>
      </c>
      <c r="B2749" t="str">
        <f>"81125100      "</f>
        <v xml:space="preserve">81125100      </v>
      </c>
      <c r="C2749" t="s">
        <v>8546</v>
      </c>
      <c r="D2749" t="s">
        <v>8546</v>
      </c>
      <c r="E2749" t="s">
        <v>8563</v>
      </c>
      <c r="F2749" t="s">
        <v>8564</v>
      </c>
    </row>
    <row r="2750" spans="1:6" x14ac:dyDescent="0.25">
      <c r="A2750" t="s">
        <v>1677</v>
      </c>
      <c r="B2750" t="str">
        <f>"81125200      "</f>
        <v xml:space="preserve">81125200      </v>
      </c>
      <c r="C2750" t="s">
        <v>8549</v>
      </c>
      <c r="D2750" t="s">
        <v>8549</v>
      </c>
      <c r="E2750" t="s">
        <v>8565</v>
      </c>
      <c r="F2750" t="s">
        <v>8566</v>
      </c>
    </row>
    <row r="2751" spans="1:6" x14ac:dyDescent="0.25">
      <c r="A2751" t="s">
        <v>1677</v>
      </c>
      <c r="B2751" t="str">
        <f>"81125900      "</f>
        <v xml:space="preserve">81125900      </v>
      </c>
      <c r="C2751" t="s">
        <v>6775</v>
      </c>
      <c r="D2751" t="s">
        <v>6775</v>
      </c>
      <c r="E2751" t="s">
        <v>8567</v>
      </c>
      <c r="F2751" t="s">
        <v>8568</v>
      </c>
    </row>
    <row r="2752" spans="1:6" x14ac:dyDescent="0.25">
      <c r="A2752" t="s">
        <v>1677</v>
      </c>
      <c r="B2752" t="str">
        <f>"81129221      "</f>
        <v xml:space="preserve">81129221      </v>
      </c>
      <c r="C2752" t="s">
        <v>8549</v>
      </c>
      <c r="D2752" t="s">
        <v>8549</v>
      </c>
      <c r="E2752" t="s">
        <v>8569</v>
      </c>
      <c r="F2752" t="s">
        <v>8570</v>
      </c>
    </row>
    <row r="2753" spans="1:6" x14ac:dyDescent="0.25">
      <c r="A2753" t="s">
        <v>1677</v>
      </c>
      <c r="B2753" t="str">
        <f>"81129281      "</f>
        <v xml:space="preserve">81129281      </v>
      </c>
      <c r="C2753" t="s">
        <v>3448</v>
      </c>
      <c r="D2753" t="s">
        <v>3448</v>
      </c>
      <c r="E2753" t="s">
        <v>8571</v>
      </c>
      <c r="F2753" t="s">
        <v>8572</v>
      </c>
    </row>
    <row r="2754" spans="1:6" x14ac:dyDescent="0.25">
      <c r="A2754" t="s">
        <v>1677</v>
      </c>
      <c r="B2754" t="str">
        <f>"81129289      "</f>
        <v xml:space="preserve">81129289      </v>
      </c>
      <c r="C2754" t="s">
        <v>3451</v>
      </c>
      <c r="D2754" t="s">
        <v>3451</v>
      </c>
      <c r="E2754" t="s">
        <v>8573</v>
      </c>
      <c r="F2754" t="s">
        <v>8574</v>
      </c>
    </row>
    <row r="2755" spans="1:6" x14ac:dyDescent="0.25">
      <c r="A2755" t="s">
        <v>1677</v>
      </c>
      <c r="B2755" t="str">
        <f>"81129291      "</f>
        <v xml:space="preserve">81129291      </v>
      </c>
      <c r="C2755" t="s">
        <v>3454</v>
      </c>
      <c r="D2755" t="s">
        <v>3454</v>
      </c>
      <c r="E2755" t="s">
        <v>8575</v>
      </c>
      <c r="F2755" t="s">
        <v>8576</v>
      </c>
    </row>
    <row r="2756" spans="1:6" x14ac:dyDescent="0.25">
      <c r="A2756" t="s">
        <v>1677</v>
      </c>
      <c r="B2756" t="str">
        <f>"81129295      "</f>
        <v xml:space="preserve">81129295      </v>
      </c>
      <c r="C2756" t="s">
        <v>1051</v>
      </c>
      <c r="D2756" t="s">
        <v>1051</v>
      </c>
      <c r="E2756" t="s">
        <v>8577</v>
      </c>
      <c r="F2756" t="s">
        <v>8578</v>
      </c>
    </row>
    <row r="2757" spans="1:6" x14ac:dyDescent="0.25">
      <c r="A2757" t="s">
        <v>1677</v>
      </c>
      <c r="B2757" t="str">
        <f>"81129970      "</f>
        <v xml:space="preserve">81129970      </v>
      </c>
      <c r="C2757" t="s">
        <v>8579</v>
      </c>
      <c r="D2757" t="s">
        <v>8579</v>
      </c>
      <c r="E2757" t="s">
        <v>8580</v>
      </c>
      <c r="F2757" t="s">
        <v>8581</v>
      </c>
    </row>
    <row r="2758" spans="1:6" x14ac:dyDescent="0.25">
      <c r="A2758" t="s">
        <v>1677</v>
      </c>
      <c r="B2758" t="str">
        <f>"84141015      "</f>
        <v xml:space="preserve">84141015      </v>
      </c>
      <c r="C2758" t="s">
        <v>8582</v>
      </c>
      <c r="D2758" t="s">
        <v>8582</v>
      </c>
      <c r="E2758" t="s">
        <v>8583</v>
      </c>
      <c r="F2758" t="s">
        <v>8584</v>
      </c>
    </row>
    <row r="2759" spans="1:6" x14ac:dyDescent="0.25">
      <c r="A2759" t="s">
        <v>1677</v>
      </c>
      <c r="B2759" t="str">
        <f>"84141025      "</f>
        <v xml:space="preserve">84141025      </v>
      </c>
      <c r="C2759" t="s">
        <v>8585</v>
      </c>
      <c r="D2759" t="s">
        <v>8585</v>
      </c>
      <c r="E2759" t="s">
        <v>8586</v>
      </c>
      <c r="F2759" t="s">
        <v>8587</v>
      </c>
    </row>
    <row r="2760" spans="1:6" x14ac:dyDescent="0.25">
      <c r="A2760" t="s">
        <v>1677</v>
      </c>
      <c r="B2760" t="str">
        <f>"84141081      "</f>
        <v xml:space="preserve">84141081      </v>
      </c>
      <c r="C2760" t="s">
        <v>8588</v>
      </c>
      <c r="D2760" t="s">
        <v>8588</v>
      </c>
      <c r="E2760" t="s">
        <v>8589</v>
      </c>
      <c r="F2760" t="s">
        <v>8590</v>
      </c>
    </row>
    <row r="2761" spans="1:6" x14ac:dyDescent="0.25">
      <c r="A2761" t="s">
        <v>1677</v>
      </c>
      <c r="B2761" t="str">
        <f>"84141089      "</f>
        <v xml:space="preserve">84141089      </v>
      </c>
      <c r="C2761" t="s">
        <v>6775</v>
      </c>
      <c r="D2761" t="s">
        <v>6775</v>
      </c>
      <c r="E2761" t="s">
        <v>8591</v>
      </c>
      <c r="F2761" t="s">
        <v>8592</v>
      </c>
    </row>
    <row r="2762" spans="1:6" x14ac:dyDescent="0.25">
      <c r="A2762" t="s">
        <v>1677</v>
      </c>
      <c r="B2762" t="str">
        <f>"84142020      "</f>
        <v xml:space="preserve">84142020      </v>
      </c>
      <c r="C2762" t="s">
        <v>8593</v>
      </c>
      <c r="D2762" t="s">
        <v>8593</v>
      </c>
      <c r="E2762" t="s">
        <v>8594</v>
      </c>
      <c r="F2762" t="s">
        <v>8595</v>
      </c>
    </row>
    <row r="2763" spans="1:6" x14ac:dyDescent="0.25">
      <c r="A2763" t="s">
        <v>1677</v>
      </c>
      <c r="B2763" t="str">
        <f>"84142080      "</f>
        <v xml:space="preserve">84142080      </v>
      </c>
      <c r="C2763" t="s">
        <v>6775</v>
      </c>
      <c r="D2763" t="s">
        <v>6775</v>
      </c>
      <c r="E2763" t="s">
        <v>8596</v>
      </c>
      <c r="F2763" t="s">
        <v>8597</v>
      </c>
    </row>
    <row r="2764" spans="1:6" x14ac:dyDescent="0.25">
      <c r="A2764" t="s">
        <v>1677</v>
      </c>
      <c r="B2764" t="str">
        <f>"84143020      "</f>
        <v xml:space="preserve">84143020      </v>
      </c>
      <c r="C2764" t="s">
        <v>8598</v>
      </c>
      <c r="D2764" t="s">
        <v>8598</v>
      </c>
      <c r="E2764" t="s">
        <v>8599</v>
      </c>
      <c r="F2764" t="s">
        <v>8600</v>
      </c>
    </row>
    <row r="2765" spans="1:6" x14ac:dyDescent="0.25">
      <c r="A2765" t="s">
        <v>1677</v>
      </c>
      <c r="B2765" t="str">
        <f>"84143081      "</f>
        <v xml:space="preserve">84143081      </v>
      </c>
      <c r="C2765" t="s">
        <v>8601</v>
      </c>
      <c r="D2765" t="s">
        <v>8601</v>
      </c>
      <c r="E2765" t="s">
        <v>8602</v>
      </c>
      <c r="F2765" t="s">
        <v>8603</v>
      </c>
    </row>
    <row r="2766" spans="1:6" x14ac:dyDescent="0.25">
      <c r="A2766" t="s">
        <v>1677</v>
      </c>
      <c r="B2766" t="str">
        <f>"84143089      "</f>
        <v xml:space="preserve">84143089      </v>
      </c>
      <c r="C2766" t="s">
        <v>6775</v>
      </c>
      <c r="D2766" t="s">
        <v>6775</v>
      </c>
      <c r="E2766" t="s">
        <v>8604</v>
      </c>
      <c r="F2766" t="s">
        <v>8605</v>
      </c>
    </row>
    <row r="2767" spans="1:6" x14ac:dyDescent="0.25">
      <c r="A2767" t="s">
        <v>1677</v>
      </c>
      <c r="B2767" t="str">
        <f>"84144010      "</f>
        <v xml:space="preserve">84144010      </v>
      </c>
      <c r="C2767" t="s">
        <v>8606</v>
      </c>
      <c r="D2767" t="s">
        <v>8606</v>
      </c>
      <c r="E2767" t="s">
        <v>8607</v>
      </c>
      <c r="F2767" t="s">
        <v>8608</v>
      </c>
    </row>
    <row r="2768" spans="1:6" x14ac:dyDescent="0.25">
      <c r="A2768" t="s">
        <v>1677</v>
      </c>
      <c r="B2768" t="str">
        <f>"84144090      "</f>
        <v xml:space="preserve">84144090      </v>
      </c>
      <c r="C2768" t="s">
        <v>8609</v>
      </c>
      <c r="D2768" t="s">
        <v>8609</v>
      </c>
      <c r="E2768" t="s">
        <v>8610</v>
      </c>
      <c r="F2768" t="s">
        <v>8611</v>
      </c>
    </row>
    <row r="2769" spans="1:6" x14ac:dyDescent="0.25">
      <c r="A2769" t="s">
        <v>1677</v>
      </c>
      <c r="B2769" t="str">
        <f>"84145100      "</f>
        <v xml:space="preserve">84145100      </v>
      </c>
      <c r="C2769" t="s">
        <v>8612</v>
      </c>
      <c r="D2769" t="s">
        <v>8612</v>
      </c>
      <c r="E2769" t="s">
        <v>8613</v>
      </c>
      <c r="F2769" t="s">
        <v>8614</v>
      </c>
    </row>
    <row r="2770" spans="1:6" x14ac:dyDescent="0.25">
      <c r="A2770" t="s">
        <v>1677</v>
      </c>
      <c r="B2770" t="str">
        <f>"84145915      "</f>
        <v xml:space="preserve">84145915      </v>
      </c>
      <c r="C2770" t="s">
        <v>8615</v>
      </c>
      <c r="D2770" t="s">
        <v>8615</v>
      </c>
      <c r="E2770" t="s">
        <v>8616</v>
      </c>
      <c r="F2770" t="s">
        <v>8617</v>
      </c>
    </row>
    <row r="2771" spans="1:6" x14ac:dyDescent="0.25">
      <c r="A2771" t="s">
        <v>1677</v>
      </c>
      <c r="B2771" t="str">
        <f>"84145925      "</f>
        <v xml:space="preserve">84145925      </v>
      </c>
      <c r="C2771" t="s">
        <v>8618</v>
      </c>
      <c r="D2771" t="s">
        <v>8618</v>
      </c>
      <c r="E2771" t="s">
        <v>8619</v>
      </c>
      <c r="F2771" t="s">
        <v>8620</v>
      </c>
    </row>
    <row r="2772" spans="1:6" x14ac:dyDescent="0.25">
      <c r="A2772" t="s">
        <v>1677</v>
      </c>
      <c r="B2772" t="str">
        <f>"84145935      "</f>
        <v xml:space="preserve">84145935      </v>
      </c>
      <c r="C2772" t="s">
        <v>8621</v>
      </c>
      <c r="D2772" t="s">
        <v>8621</v>
      </c>
      <c r="E2772" t="s">
        <v>8622</v>
      </c>
      <c r="F2772" t="s">
        <v>8623</v>
      </c>
    </row>
    <row r="2773" spans="1:6" x14ac:dyDescent="0.25">
      <c r="A2773" t="s">
        <v>1677</v>
      </c>
      <c r="B2773" t="str">
        <f>"84145995      "</f>
        <v xml:space="preserve">84145995      </v>
      </c>
      <c r="C2773" t="s">
        <v>6775</v>
      </c>
      <c r="D2773" t="s">
        <v>6775</v>
      </c>
      <c r="E2773" t="s">
        <v>8624</v>
      </c>
      <c r="F2773" t="s">
        <v>8625</v>
      </c>
    </row>
    <row r="2774" spans="1:6" x14ac:dyDescent="0.25">
      <c r="A2774" t="s">
        <v>1677</v>
      </c>
      <c r="B2774" t="str">
        <f>"84146000      "</f>
        <v xml:space="preserve">84146000      </v>
      </c>
      <c r="C2774" t="s">
        <v>8626</v>
      </c>
      <c r="D2774" t="s">
        <v>8626</v>
      </c>
      <c r="E2774" t="s">
        <v>8627</v>
      </c>
      <c r="F2774" t="s">
        <v>8628</v>
      </c>
    </row>
    <row r="2775" spans="1:6" x14ac:dyDescent="0.25">
      <c r="A2775" t="s">
        <v>1677</v>
      </c>
      <c r="B2775" t="str">
        <f>"84148011      "</f>
        <v xml:space="preserve">84148011      </v>
      </c>
      <c r="C2775" t="s">
        <v>8629</v>
      </c>
      <c r="D2775" t="s">
        <v>8629</v>
      </c>
      <c r="E2775" t="s">
        <v>8630</v>
      </c>
      <c r="F2775" t="s">
        <v>8631</v>
      </c>
    </row>
    <row r="2776" spans="1:6" x14ac:dyDescent="0.25">
      <c r="A2776" t="s">
        <v>1677</v>
      </c>
      <c r="B2776" t="str">
        <f>"84148019      "</f>
        <v xml:space="preserve">84148019      </v>
      </c>
      <c r="C2776" t="s">
        <v>8632</v>
      </c>
      <c r="D2776" t="s">
        <v>8632</v>
      </c>
      <c r="E2776" t="s">
        <v>8633</v>
      </c>
      <c r="F2776" t="s">
        <v>8634</v>
      </c>
    </row>
    <row r="2777" spans="1:6" x14ac:dyDescent="0.25">
      <c r="A2777" t="s">
        <v>1677</v>
      </c>
      <c r="B2777" t="str">
        <f>"84148022      "</f>
        <v xml:space="preserve">84148022      </v>
      </c>
      <c r="C2777" t="s">
        <v>8635</v>
      </c>
      <c r="D2777" t="s">
        <v>8635</v>
      </c>
      <c r="E2777" t="s">
        <v>8636</v>
      </c>
      <c r="F2777" t="s">
        <v>8637</v>
      </c>
    </row>
    <row r="2778" spans="1:6" x14ac:dyDescent="0.25">
      <c r="A2778" t="s">
        <v>1677</v>
      </c>
      <c r="B2778" t="str">
        <f>"84148028      "</f>
        <v xml:space="preserve">84148028      </v>
      </c>
      <c r="C2778" t="s">
        <v>8638</v>
      </c>
      <c r="D2778" t="s">
        <v>8638</v>
      </c>
      <c r="E2778" t="s">
        <v>8639</v>
      </c>
      <c r="F2778" t="s">
        <v>8640</v>
      </c>
    </row>
    <row r="2779" spans="1:6" x14ac:dyDescent="0.25">
      <c r="A2779" t="s">
        <v>1677</v>
      </c>
      <c r="B2779" t="str">
        <f>"84148051      "</f>
        <v xml:space="preserve">84148051      </v>
      </c>
      <c r="C2779" t="s">
        <v>8641</v>
      </c>
      <c r="D2779" t="s">
        <v>8641</v>
      </c>
      <c r="E2779" t="s">
        <v>8642</v>
      </c>
      <c r="F2779" t="s">
        <v>8643</v>
      </c>
    </row>
    <row r="2780" spans="1:6" x14ac:dyDescent="0.25">
      <c r="A2780" t="s">
        <v>1677</v>
      </c>
      <c r="B2780" t="str">
        <f>"84148059      "</f>
        <v xml:space="preserve">84148059      </v>
      </c>
      <c r="C2780" t="s">
        <v>8644</v>
      </c>
      <c r="D2780" t="s">
        <v>8644</v>
      </c>
      <c r="E2780" t="s">
        <v>8645</v>
      </c>
      <c r="F2780" t="s">
        <v>8646</v>
      </c>
    </row>
    <row r="2781" spans="1:6" x14ac:dyDescent="0.25">
      <c r="A2781" t="s">
        <v>1677</v>
      </c>
      <c r="B2781" t="str">
        <f>"84148073      "</f>
        <v xml:space="preserve">84148073      </v>
      </c>
      <c r="C2781" t="s">
        <v>8647</v>
      </c>
      <c r="D2781" t="s">
        <v>8647</v>
      </c>
      <c r="E2781" t="s">
        <v>8648</v>
      </c>
      <c r="F2781" t="s">
        <v>8649</v>
      </c>
    </row>
    <row r="2782" spans="1:6" x14ac:dyDescent="0.25">
      <c r="A2782" t="s">
        <v>1677</v>
      </c>
      <c r="B2782" t="str">
        <f>"84148075      "</f>
        <v xml:space="preserve">84148075      </v>
      </c>
      <c r="C2782" t="s">
        <v>8650</v>
      </c>
      <c r="D2782" t="s">
        <v>8650</v>
      </c>
      <c r="E2782" t="s">
        <v>8651</v>
      </c>
      <c r="F2782" t="s">
        <v>8652</v>
      </c>
    </row>
    <row r="2783" spans="1:6" x14ac:dyDescent="0.25">
      <c r="A2783" t="s">
        <v>1677</v>
      </c>
      <c r="B2783" t="str">
        <f>"84148078      "</f>
        <v xml:space="preserve">84148078      </v>
      </c>
      <c r="C2783" t="s">
        <v>6775</v>
      </c>
      <c r="D2783" t="s">
        <v>6775</v>
      </c>
      <c r="E2783" t="s">
        <v>8653</v>
      </c>
      <c r="F2783" t="s">
        <v>8654</v>
      </c>
    </row>
    <row r="2784" spans="1:6" x14ac:dyDescent="0.25">
      <c r="A2784" t="s">
        <v>1677</v>
      </c>
      <c r="B2784" t="str">
        <f>"84148080      "</f>
        <v xml:space="preserve">84148080      </v>
      </c>
      <c r="C2784" t="s">
        <v>6775</v>
      </c>
      <c r="D2784" t="s">
        <v>6775</v>
      </c>
      <c r="E2784" t="s">
        <v>8655</v>
      </c>
      <c r="F2784" t="s">
        <v>8656</v>
      </c>
    </row>
    <row r="2785" spans="1:6" x14ac:dyDescent="0.25">
      <c r="A2785" t="s">
        <v>1677</v>
      </c>
      <c r="B2785" t="str">
        <f>"84149000      "</f>
        <v xml:space="preserve">84149000      </v>
      </c>
      <c r="C2785" t="s">
        <v>8657</v>
      </c>
      <c r="D2785" t="s">
        <v>8657</v>
      </c>
      <c r="E2785" t="s">
        <v>8658</v>
      </c>
      <c r="F2785" t="s">
        <v>8659</v>
      </c>
    </row>
    <row r="2786" spans="1:6" x14ac:dyDescent="0.25">
      <c r="A2786" t="s">
        <v>1677</v>
      </c>
      <c r="B2786" t="str">
        <f>"84181020      "</f>
        <v xml:space="preserve">84181020      </v>
      </c>
      <c r="C2786" t="s">
        <v>8660</v>
      </c>
      <c r="D2786" t="s">
        <v>8660</v>
      </c>
      <c r="E2786" t="s">
        <v>8661</v>
      </c>
      <c r="F2786" t="s">
        <v>8662</v>
      </c>
    </row>
    <row r="2787" spans="1:6" x14ac:dyDescent="0.25">
      <c r="A2787" t="s">
        <v>1677</v>
      </c>
      <c r="B2787" t="str">
        <f>"84181080      "</f>
        <v xml:space="preserve">84181080      </v>
      </c>
      <c r="C2787" t="s">
        <v>6775</v>
      </c>
      <c r="D2787" t="s">
        <v>6775</v>
      </c>
      <c r="E2787" t="s">
        <v>8663</v>
      </c>
      <c r="F2787" t="s">
        <v>8664</v>
      </c>
    </row>
    <row r="2788" spans="1:6" x14ac:dyDescent="0.25">
      <c r="A2788" t="s">
        <v>1677</v>
      </c>
      <c r="B2788" t="str">
        <f>"84381010      "</f>
        <v xml:space="preserve">84381010      </v>
      </c>
      <c r="C2788" t="s">
        <v>8665</v>
      </c>
      <c r="D2788" t="s">
        <v>8665</v>
      </c>
      <c r="E2788" t="s">
        <v>8666</v>
      </c>
      <c r="F2788" t="s">
        <v>8667</v>
      </c>
    </row>
    <row r="2789" spans="1:6" x14ac:dyDescent="0.25">
      <c r="A2789" t="s">
        <v>1677</v>
      </c>
      <c r="B2789" t="str">
        <f>"84381090      "</f>
        <v xml:space="preserve">84381090      </v>
      </c>
      <c r="C2789" t="s">
        <v>8668</v>
      </c>
      <c r="D2789" t="s">
        <v>8668</v>
      </c>
      <c r="E2789" t="s">
        <v>8669</v>
      </c>
      <c r="F2789" t="s">
        <v>8670</v>
      </c>
    </row>
    <row r="2790" spans="1:6" x14ac:dyDescent="0.25">
      <c r="A2790" t="s">
        <v>1677</v>
      </c>
      <c r="B2790" t="str">
        <f>"84382000      "</f>
        <v xml:space="preserve">84382000      </v>
      </c>
      <c r="C2790" t="s">
        <v>8671</v>
      </c>
      <c r="D2790" t="s">
        <v>8671</v>
      </c>
      <c r="E2790" t="s">
        <v>8672</v>
      </c>
      <c r="F2790" t="s">
        <v>8673</v>
      </c>
    </row>
    <row r="2791" spans="1:6" x14ac:dyDescent="0.25">
      <c r="A2791" t="s">
        <v>1677</v>
      </c>
      <c r="B2791" t="str">
        <f>"84383000      "</f>
        <v xml:space="preserve">84383000      </v>
      </c>
      <c r="C2791" t="s">
        <v>8674</v>
      </c>
      <c r="D2791" t="s">
        <v>8674</v>
      </c>
      <c r="E2791" t="s">
        <v>8675</v>
      </c>
      <c r="F2791" t="s">
        <v>8676</v>
      </c>
    </row>
    <row r="2792" spans="1:6" x14ac:dyDescent="0.25">
      <c r="A2792" t="s">
        <v>1677</v>
      </c>
      <c r="B2792" t="str">
        <f>"84384000      "</f>
        <v xml:space="preserve">84384000      </v>
      </c>
      <c r="C2792" t="s">
        <v>8677</v>
      </c>
      <c r="D2792" t="s">
        <v>8677</v>
      </c>
      <c r="E2792" t="s">
        <v>8678</v>
      </c>
      <c r="F2792" t="s">
        <v>8679</v>
      </c>
    </row>
    <row r="2793" spans="1:6" x14ac:dyDescent="0.25">
      <c r="A2793" t="s">
        <v>1677</v>
      </c>
      <c r="B2793" t="str">
        <f>"84385000      "</f>
        <v xml:space="preserve">84385000      </v>
      </c>
      <c r="C2793" t="s">
        <v>8680</v>
      </c>
      <c r="D2793" t="s">
        <v>8680</v>
      </c>
      <c r="E2793" t="s">
        <v>8681</v>
      </c>
      <c r="F2793" t="s">
        <v>8682</v>
      </c>
    </row>
    <row r="2794" spans="1:6" x14ac:dyDescent="0.25">
      <c r="A2794" t="s">
        <v>1677</v>
      </c>
      <c r="B2794" t="str">
        <f>"84386000      "</f>
        <v xml:space="preserve">84386000      </v>
      </c>
      <c r="C2794" t="s">
        <v>8683</v>
      </c>
      <c r="D2794" t="s">
        <v>8683</v>
      </c>
      <c r="E2794" t="s">
        <v>8684</v>
      </c>
      <c r="F2794" t="s">
        <v>8685</v>
      </c>
    </row>
    <row r="2795" spans="1:6" x14ac:dyDescent="0.25">
      <c r="A2795" t="s">
        <v>1677</v>
      </c>
      <c r="B2795" t="str">
        <f>"84388010      "</f>
        <v xml:space="preserve">84388010      </v>
      </c>
      <c r="C2795" t="s">
        <v>8686</v>
      </c>
      <c r="D2795" t="s">
        <v>8686</v>
      </c>
      <c r="E2795" t="s">
        <v>8687</v>
      </c>
      <c r="F2795" t="s">
        <v>8688</v>
      </c>
    </row>
    <row r="2796" spans="1:6" x14ac:dyDescent="0.25">
      <c r="A2796" t="s">
        <v>1677</v>
      </c>
      <c r="B2796" t="str">
        <f>"84388091      "</f>
        <v xml:space="preserve">84388091      </v>
      </c>
      <c r="C2796" t="s">
        <v>8689</v>
      </c>
      <c r="D2796" t="s">
        <v>8689</v>
      </c>
      <c r="E2796" t="s">
        <v>8690</v>
      </c>
      <c r="F2796" t="s">
        <v>8691</v>
      </c>
    </row>
    <row r="2797" spans="1:6" x14ac:dyDescent="0.25">
      <c r="A2797" t="s">
        <v>1677</v>
      </c>
      <c r="B2797" t="str">
        <f>"84388099      "</f>
        <v xml:space="preserve">84388099      </v>
      </c>
      <c r="C2797" t="s">
        <v>6775</v>
      </c>
      <c r="D2797" t="s">
        <v>6775</v>
      </c>
      <c r="E2797" t="s">
        <v>8692</v>
      </c>
      <c r="F2797" t="s">
        <v>8693</v>
      </c>
    </row>
    <row r="2798" spans="1:6" x14ac:dyDescent="0.25">
      <c r="A2798" t="s">
        <v>1677</v>
      </c>
      <c r="B2798" t="str">
        <f>"84389000      "</f>
        <v xml:space="preserve">84389000      </v>
      </c>
      <c r="C2798" t="s">
        <v>8657</v>
      </c>
      <c r="D2798" t="s">
        <v>8657</v>
      </c>
      <c r="E2798" t="s">
        <v>8694</v>
      </c>
      <c r="F2798" t="s">
        <v>8695</v>
      </c>
    </row>
    <row r="2799" spans="1:6" x14ac:dyDescent="0.25">
      <c r="A2799" t="s">
        <v>1677</v>
      </c>
      <c r="B2799" t="str">
        <f>"84622910      "</f>
        <v xml:space="preserve">84622910      </v>
      </c>
      <c r="C2799" t="s">
        <v>8696</v>
      </c>
      <c r="D2799" t="s">
        <v>8697</v>
      </c>
      <c r="E2799" t="s">
        <v>8698</v>
      </c>
      <c r="F2799" t="s">
        <v>8699</v>
      </c>
    </row>
    <row r="2800" spans="1:6" x14ac:dyDescent="0.25">
      <c r="A2800" t="s">
        <v>1677</v>
      </c>
      <c r="B2800" t="str">
        <f>"84792000      "</f>
        <v xml:space="preserve">84792000      </v>
      </c>
      <c r="C2800" t="s">
        <v>8700</v>
      </c>
      <c r="D2800" t="s">
        <v>8701</v>
      </c>
      <c r="E2800" t="s">
        <v>8702</v>
      </c>
      <c r="F2800" t="s">
        <v>8703</v>
      </c>
    </row>
    <row r="2801" spans="1:6" x14ac:dyDescent="0.25">
      <c r="A2801" t="s">
        <v>1677</v>
      </c>
      <c r="B2801" t="str">
        <f>"84824000      "</f>
        <v xml:space="preserve">84824000      </v>
      </c>
      <c r="C2801" t="s">
        <v>8704</v>
      </c>
      <c r="D2801" t="s">
        <v>8705</v>
      </c>
      <c r="E2801" t="s">
        <v>8706</v>
      </c>
      <c r="F2801" t="s">
        <v>8707</v>
      </c>
    </row>
    <row r="2802" spans="1:6" x14ac:dyDescent="0.25">
      <c r="A2802" t="s">
        <v>1677</v>
      </c>
      <c r="B2802" t="str">
        <f>"84825000      "</f>
        <v xml:space="preserve">84825000      </v>
      </c>
      <c r="C2802" t="s">
        <v>8708</v>
      </c>
      <c r="D2802" t="s">
        <v>8709</v>
      </c>
      <c r="E2802" t="s">
        <v>8710</v>
      </c>
      <c r="F2802" t="s">
        <v>8711</v>
      </c>
    </row>
    <row r="2803" spans="1:6" x14ac:dyDescent="0.25">
      <c r="A2803" t="s">
        <v>1677</v>
      </c>
      <c r="B2803" t="str">
        <f>"84861000      "</f>
        <v xml:space="preserve">84861000      </v>
      </c>
      <c r="C2803" t="s">
        <v>8712</v>
      </c>
      <c r="D2803" t="s">
        <v>8712</v>
      </c>
      <c r="E2803" t="s">
        <v>8713</v>
      </c>
      <c r="F2803" t="s">
        <v>8714</v>
      </c>
    </row>
    <row r="2804" spans="1:6" x14ac:dyDescent="0.25">
      <c r="A2804" t="s">
        <v>1677</v>
      </c>
      <c r="B2804" t="str">
        <f>"84862000      "</f>
        <v xml:space="preserve">84862000      </v>
      </c>
      <c r="C2804" t="s">
        <v>8715</v>
      </c>
      <c r="D2804" t="s">
        <v>8715</v>
      </c>
      <c r="E2804" t="s">
        <v>8716</v>
      </c>
      <c r="F2804" t="s">
        <v>8717</v>
      </c>
    </row>
    <row r="2805" spans="1:6" x14ac:dyDescent="0.25">
      <c r="A2805" t="s">
        <v>1677</v>
      </c>
      <c r="B2805" t="str">
        <f>"84863000      "</f>
        <v xml:space="preserve">84863000      </v>
      </c>
      <c r="C2805" t="s">
        <v>8718</v>
      </c>
      <c r="D2805" t="s">
        <v>8718</v>
      </c>
      <c r="E2805" t="s">
        <v>8719</v>
      </c>
      <c r="F2805" t="s">
        <v>8720</v>
      </c>
    </row>
    <row r="2806" spans="1:6" x14ac:dyDescent="0.25">
      <c r="A2806" t="s">
        <v>1677</v>
      </c>
      <c r="B2806" t="str">
        <f>"84864000      "</f>
        <v xml:space="preserve">84864000      </v>
      </c>
      <c r="C2806" t="s">
        <v>8721</v>
      </c>
      <c r="D2806" t="s">
        <v>8722</v>
      </c>
      <c r="E2806" t="s">
        <v>8723</v>
      </c>
      <c r="F2806" t="s">
        <v>8724</v>
      </c>
    </row>
    <row r="2807" spans="1:6" x14ac:dyDescent="0.25">
      <c r="A2807" t="s">
        <v>1677</v>
      </c>
      <c r="B2807" t="str">
        <f>"84869000      "</f>
        <v xml:space="preserve">84869000      </v>
      </c>
      <c r="C2807" t="s">
        <v>8725</v>
      </c>
      <c r="D2807" t="s">
        <v>8725</v>
      </c>
      <c r="E2807" t="s">
        <v>8726</v>
      </c>
      <c r="F2807" t="s">
        <v>8727</v>
      </c>
    </row>
    <row r="2808" spans="1:6" x14ac:dyDescent="0.25">
      <c r="A2808" t="s">
        <v>1677</v>
      </c>
      <c r="B2808" t="str">
        <f>"85013100      "</f>
        <v xml:space="preserve">85013100      </v>
      </c>
      <c r="C2808" t="s">
        <v>8728</v>
      </c>
      <c r="D2808" t="s">
        <v>8728</v>
      </c>
      <c r="E2808" t="s">
        <v>8729</v>
      </c>
      <c r="F2808" t="s">
        <v>8730</v>
      </c>
    </row>
    <row r="2809" spans="1:6" x14ac:dyDescent="0.25">
      <c r="A2809" t="s">
        <v>1677</v>
      </c>
      <c r="B2809" t="str">
        <f>"85013200      "</f>
        <v xml:space="preserve">85013200      </v>
      </c>
      <c r="C2809" t="s">
        <v>8731</v>
      </c>
      <c r="D2809" t="s">
        <v>8731</v>
      </c>
      <c r="E2809" t="s">
        <v>8732</v>
      </c>
      <c r="F2809" t="s">
        <v>8733</v>
      </c>
    </row>
    <row r="2810" spans="1:6" x14ac:dyDescent="0.25">
      <c r="A2810" t="s">
        <v>1677</v>
      </c>
      <c r="B2810" t="str">
        <f>"85013300      "</f>
        <v xml:space="preserve">85013300      </v>
      </c>
      <c r="C2810" t="s">
        <v>8734</v>
      </c>
      <c r="D2810" t="s">
        <v>8734</v>
      </c>
      <c r="E2810" t="s">
        <v>8735</v>
      </c>
      <c r="F2810" t="s">
        <v>8736</v>
      </c>
    </row>
    <row r="2811" spans="1:6" x14ac:dyDescent="0.25">
      <c r="A2811" t="s">
        <v>1677</v>
      </c>
      <c r="B2811" t="str">
        <f>"85013400      "</f>
        <v xml:space="preserve">85013400      </v>
      </c>
      <c r="C2811" t="s">
        <v>8737</v>
      </c>
      <c r="D2811" t="s">
        <v>8737</v>
      </c>
      <c r="E2811" t="s">
        <v>8738</v>
      </c>
      <c r="F2811" t="s">
        <v>8739</v>
      </c>
    </row>
    <row r="2812" spans="1:6" x14ac:dyDescent="0.25">
      <c r="A2812" t="s">
        <v>1677</v>
      </c>
      <c r="B2812" t="str">
        <f>"85016120      "</f>
        <v xml:space="preserve">85016120      </v>
      </c>
      <c r="C2812" t="s">
        <v>8740</v>
      </c>
      <c r="D2812" t="s">
        <v>8740</v>
      </c>
      <c r="E2812" t="s">
        <v>8741</v>
      </c>
      <c r="F2812" t="s">
        <v>8742</v>
      </c>
    </row>
    <row r="2813" spans="1:6" x14ac:dyDescent="0.25">
      <c r="A2813" t="s">
        <v>1677</v>
      </c>
      <c r="B2813" t="str">
        <f>"85016180      "</f>
        <v xml:space="preserve">85016180      </v>
      </c>
      <c r="C2813" t="s">
        <v>8743</v>
      </c>
      <c r="D2813" t="s">
        <v>8743</v>
      </c>
      <c r="E2813" t="s">
        <v>8744</v>
      </c>
      <c r="F2813" t="s">
        <v>8745</v>
      </c>
    </row>
    <row r="2814" spans="1:6" x14ac:dyDescent="0.25">
      <c r="A2814" t="s">
        <v>1677</v>
      </c>
      <c r="B2814" t="str">
        <f>"85016200      "</f>
        <v xml:space="preserve">85016200      </v>
      </c>
      <c r="C2814" t="s">
        <v>8746</v>
      </c>
      <c r="D2814" t="s">
        <v>8746</v>
      </c>
      <c r="E2814" t="s">
        <v>8747</v>
      </c>
      <c r="F2814" t="s">
        <v>8748</v>
      </c>
    </row>
    <row r="2815" spans="1:6" x14ac:dyDescent="0.25">
      <c r="A2815" t="s">
        <v>1677</v>
      </c>
      <c r="B2815" t="str">
        <f>"85016300      "</f>
        <v xml:space="preserve">85016300      </v>
      </c>
      <c r="C2815" t="s">
        <v>8749</v>
      </c>
      <c r="D2815" t="s">
        <v>8749</v>
      </c>
      <c r="E2815" t="s">
        <v>8750</v>
      </c>
      <c r="F2815" t="s">
        <v>8751</v>
      </c>
    </row>
    <row r="2816" spans="1:6" x14ac:dyDescent="0.25">
      <c r="A2816" t="s">
        <v>1677</v>
      </c>
      <c r="B2816" t="str">
        <f>"85016400      "</f>
        <v xml:space="preserve">85016400      </v>
      </c>
      <c r="C2816" t="s">
        <v>8752</v>
      </c>
      <c r="D2816" t="s">
        <v>8752</v>
      </c>
      <c r="E2816" t="s">
        <v>8753</v>
      </c>
      <c r="F2816" t="s">
        <v>8754</v>
      </c>
    </row>
    <row r="2817" spans="1:6" x14ac:dyDescent="0.25">
      <c r="A2817" t="s">
        <v>1677</v>
      </c>
      <c r="B2817" t="str">
        <f>"85149030      "</f>
        <v xml:space="preserve">85149030      </v>
      </c>
      <c r="C2817" t="s">
        <v>8755</v>
      </c>
      <c r="D2817" t="s">
        <v>8756</v>
      </c>
      <c r="E2817" t="s">
        <v>8757</v>
      </c>
      <c r="F2817" t="s">
        <v>8758</v>
      </c>
    </row>
    <row r="2818" spans="1:6" x14ac:dyDescent="0.25">
      <c r="A2818" t="s">
        <v>1677</v>
      </c>
      <c r="B2818" t="str">
        <f>"85171100      "</f>
        <v xml:space="preserve">85171100      </v>
      </c>
      <c r="C2818" t="s">
        <v>8759</v>
      </c>
      <c r="D2818" t="s">
        <v>8759</v>
      </c>
      <c r="E2818" t="s">
        <v>8760</v>
      </c>
      <c r="F2818" t="s">
        <v>8761</v>
      </c>
    </row>
    <row r="2819" spans="1:6" x14ac:dyDescent="0.25">
      <c r="A2819" t="s">
        <v>1677</v>
      </c>
      <c r="B2819" t="str">
        <f>"85171800      "</f>
        <v xml:space="preserve">85171800      </v>
      </c>
      <c r="C2819" t="s">
        <v>6775</v>
      </c>
      <c r="D2819" t="s">
        <v>6775</v>
      </c>
      <c r="E2819" t="s">
        <v>8762</v>
      </c>
      <c r="F2819" t="s">
        <v>8763</v>
      </c>
    </row>
    <row r="2820" spans="1:6" x14ac:dyDescent="0.25">
      <c r="A2820" t="s">
        <v>1677</v>
      </c>
      <c r="B2820" t="str">
        <f>"85176100      "</f>
        <v xml:space="preserve">85176100      </v>
      </c>
      <c r="C2820" t="s">
        <v>8764</v>
      </c>
      <c r="D2820" t="s">
        <v>8764</v>
      </c>
      <c r="E2820" t="s">
        <v>8765</v>
      </c>
      <c r="F2820" t="s">
        <v>8766</v>
      </c>
    </row>
    <row r="2821" spans="1:6" x14ac:dyDescent="0.25">
      <c r="A2821" t="s">
        <v>1677</v>
      </c>
      <c r="B2821" t="str">
        <f>"85176200      "</f>
        <v xml:space="preserve">85176200      </v>
      </c>
      <c r="C2821" t="s">
        <v>8767</v>
      </c>
      <c r="D2821" t="s">
        <v>8767</v>
      </c>
      <c r="E2821" t="s">
        <v>8768</v>
      </c>
      <c r="F2821" t="s">
        <v>8769</v>
      </c>
    </row>
    <row r="2822" spans="1:6" x14ac:dyDescent="0.25">
      <c r="A2822" t="s">
        <v>1677</v>
      </c>
      <c r="B2822" t="str">
        <f>"85176910      "</f>
        <v xml:space="preserve">85176910      </v>
      </c>
      <c r="C2822" t="s">
        <v>8770</v>
      </c>
      <c r="D2822" t="s">
        <v>8770</v>
      </c>
      <c r="E2822" t="s">
        <v>8771</v>
      </c>
      <c r="F2822" t="s">
        <v>8772</v>
      </c>
    </row>
    <row r="2823" spans="1:6" x14ac:dyDescent="0.25">
      <c r="A2823" t="s">
        <v>1677</v>
      </c>
      <c r="B2823" t="str">
        <f>"85176920      "</f>
        <v xml:space="preserve">85176920      </v>
      </c>
      <c r="C2823" t="s">
        <v>8773</v>
      </c>
      <c r="D2823" t="s">
        <v>8773</v>
      </c>
      <c r="E2823" t="s">
        <v>8774</v>
      </c>
      <c r="F2823" t="s">
        <v>8775</v>
      </c>
    </row>
    <row r="2824" spans="1:6" x14ac:dyDescent="0.25">
      <c r="A2824" t="s">
        <v>1677</v>
      </c>
      <c r="B2824" t="str">
        <f>"85176930      "</f>
        <v xml:space="preserve">85176930      </v>
      </c>
      <c r="C2824" t="s">
        <v>8776</v>
      </c>
      <c r="D2824" t="s">
        <v>8776</v>
      </c>
      <c r="E2824" t="s">
        <v>8777</v>
      </c>
      <c r="F2824" t="s">
        <v>8778</v>
      </c>
    </row>
    <row r="2825" spans="1:6" x14ac:dyDescent="0.25">
      <c r="A2825" t="s">
        <v>1677</v>
      </c>
      <c r="B2825" t="str">
        <f>"85176990      "</f>
        <v xml:space="preserve">85176990      </v>
      </c>
      <c r="C2825" t="s">
        <v>6775</v>
      </c>
      <c r="D2825" t="s">
        <v>6775</v>
      </c>
      <c r="E2825" t="s">
        <v>8779</v>
      </c>
      <c r="F2825" t="s">
        <v>8780</v>
      </c>
    </row>
    <row r="2826" spans="1:6" x14ac:dyDescent="0.25">
      <c r="A2826" t="s">
        <v>1677</v>
      </c>
      <c r="B2826" t="str">
        <f>"85291011      "</f>
        <v xml:space="preserve">85291011      </v>
      </c>
      <c r="C2826" t="s">
        <v>8781</v>
      </c>
      <c r="D2826" t="s">
        <v>8781</v>
      </c>
      <c r="E2826" t="s">
        <v>8782</v>
      </c>
      <c r="F2826" t="s">
        <v>8783</v>
      </c>
    </row>
    <row r="2827" spans="1:6" x14ac:dyDescent="0.25">
      <c r="A2827" t="s">
        <v>1677</v>
      </c>
      <c r="B2827" t="str">
        <f>"85291030      "</f>
        <v xml:space="preserve">85291030      </v>
      </c>
      <c r="C2827" t="s">
        <v>8784</v>
      </c>
      <c r="D2827" t="s">
        <v>8784</v>
      </c>
      <c r="E2827" t="s">
        <v>8785</v>
      </c>
      <c r="F2827" t="s">
        <v>8786</v>
      </c>
    </row>
    <row r="2828" spans="1:6" x14ac:dyDescent="0.25">
      <c r="A2828" t="s">
        <v>1677</v>
      </c>
      <c r="B2828" t="str">
        <f>"85291065      "</f>
        <v xml:space="preserve">85291065      </v>
      </c>
      <c r="C2828" t="s">
        <v>8787</v>
      </c>
      <c r="D2828" t="s">
        <v>8787</v>
      </c>
      <c r="E2828" t="s">
        <v>8788</v>
      </c>
      <c r="F2828" t="s">
        <v>8789</v>
      </c>
    </row>
    <row r="2829" spans="1:6" x14ac:dyDescent="0.25">
      <c r="A2829" t="s">
        <v>1677</v>
      </c>
      <c r="B2829" t="str">
        <f>"85291069      "</f>
        <v xml:space="preserve">85291069      </v>
      </c>
      <c r="C2829" t="s">
        <v>6775</v>
      </c>
      <c r="D2829" t="s">
        <v>6775</v>
      </c>
      <c r="E2829" t="s">
        <v>8790</v>
      </c>
      <c r="F2829" t="s">
        <v>8791</v>
      </c>
    </row>
    <row r="2830" spans="1:6" x14ac:dyDescent="0.25">
      <c r="A2830" t="s">
        <v>1677</v>
      </c>
      <c r="B2830" t="str">
        <f>"85291080      "</f>
        <v xml:space="preserve">85291080      </v>
      </c>
      <c r="C2830" t="s">
        <v>8792</v>
      </c>
      <c r="D2830" t="s">
        <v>8792</v>
      </c>
      <c r="E2830" t="s">
        <v>8793</v>
      </c>
      <c r="F2830" t="s">
        <v>8794</v>
      </c>
    </row>
    <row r="2831" spans="1:6" x14ac:dyDescent="0.25">
      <c r="A2831" t="s">
        <v>1677</v>
      </c>
      <c r="B2831" t="str">
        <f>"85291095      "</f>
        <v xml:space="preserve">85291095      </v>
      </c>
      <c r="C2831" t="s">
        <v>6775</v>
      </c>
      <c r="D2831" t="s">
        <v>6775</v>
      </c>
      <c r="E2831" t="s">
        <v>8795</v>
      </c>
      <c r="F2831" t="s">
        <v>8796</v>
      </c>
    </row>
    <row r="2832" spans="1:6" x14ac:dyDescent="0.25">
      <c r="A2832" t="s">
        <v>1677</v>
      </c>
      <c r="B2832" t="str">
        <f>"85299015      "</f>
        <v xml:space="preserve">85299015      </v>
      </c>
      <c r="C2832" t="s">
        <v>8797</v>
      </c>
      <c r="D2832" t="s">
        <v>8798</v>
      </c>
      <c r="E2832" t="s">
        <v>8799</v>
      </c>
      <c r="F2832" t="s">
        <v>8800</v>
      </c>
    </row>
    <row r="2833" spans="1:6" x14ac:dyDescent="0.25">
      <c r="A2833" t="s">
        <v>1677</v>
      </c>
      <c r="B2833" t="str">
        <f>"85299020      "</f>
        <v xml:space="preserve">85299020      </v>
      </c>
      <c r="C2833" t="s">
        <v>8801</v>
      </c>
      <c r="D2833" t="s">
        <v>8802</v>
      </c>
      <c r="E2833" t="s">
        <v>8803</v>
      </c>
      <c r="F2833" t="s">
        <v>8804</v>
      </c>
    </row>
    <row r="2834" spans="1:6" x14ac:dyDescent="0.25">
      <c r="A2834" t="s">
        <v>1677</v>
      </c>
      <c r="B2834" t="str">
        <f>"85299065      "</f>
        <v xml:space="preserve">85299065      </v>
      </c>
      <c r="C2834" t="s">
        <v>8805</v>
      </c>
      <c r="D2834" t="s">
        <v>8805</v>
      </c>
      <c r="E2834" t="s">
        <v>8806</v>
      </c>
      <c r="F2834" t="s">
        <v>8807</v>
      </c>
    </row>
    <row r="2835" spans="1:6" x14ac:dyDescent="0.25">
      <c r="A2835" t="s">
        <v>1677</v>
      </c>
      <c r="B2835" t="str">
        <f>"85299091      "</f>
        <v xml:space="preserve">85299091      </v>
      </c>
      <c r="C2835" t="s">
        <v>8808</v>
      </c>
      <c r="D2835" t="s">
        <v>8808</v>
      </c>
      <c r="E2835" t="s">
        <v>8809</v>
      </c>
      <c r="F2835" t="s">
        <v>8810</v>
      </c>
    </row>
    <row r="2836" spans="1:6" x14ac:dyDescent="0.25">
      <c r="A2836" t="s">
        <v>1677</v>
      </c>
      <c r="B2836" t="str">
        <f>"85299092      "</f>
        <v xml:space="preserve">85299092      </v>
      </c>
      <c r="C2836" t="s">
        <v>8811</v>
      </c>
      <c r="D2836" t="s">
        <v>8812</v>
      </c>
      <c r="E2836" t="s">
        <v>8813</v>
      </c>
      <c r="F2836" t="s">
        <v>8814</v>
      </c>
    </row>
    <row r="2837" spans="1:6" x14ac:dyDescent="0.25">
      <c r="A2837" t="s">
        <v>1677</v>
      </c>
      <c r="B2837" t="str">
        <f>"85299097      "</f>
        <v xml:space="preserve">85299097      </v>
      </c>
      <c r="C2837" t="s">
        <v>6775</v>
      </c>
      <c r="D2837" t="s">
        <v>6775</v>
      </c>
      <c r="E2837" t="s">
        <v>8815</v>
      </c>
      <c r="F2837" t="s">
        <v>8816</v>
      </c>
    </row>
    <row r="2838" spans="1:6" x14ac:dyDescent="0.25">
      <c r="A2838" t="s">
        <v>1677</v>
      </c>
      <c r="B2838" t="str">
        <f>"85391000      "</f>
        <v xml:space="preserve">85391000      </v>
      </c>
      <c r="C2838" t="s">
        <v>8817</v>
      </c>
      <c r="D2838" t="s">
        <v>8817</v>
      </c>
      <c r="E2838" t="s">
        <v>8818</v>
      </c>
      <c r="F2838" t="s">
        <v>8819</v>
      </c>
    </row>
    <row r="2839" spans="1:6" x14ac:dyDescent="0.25">
      <c r="A2839" t="s">
        <v>1677</v>
      </c>
      <c r="B2839" t="str">
        <f>"85392130      "</f>
        <v xml:space="preserve">85392130      </v>
      </c>
      <c r="C2839" t="s">
        <v>8820</v>
      </c>
      <c r="D2839" t="s">
        <v>8820</v>
      </c>
      <c r="E2839" t="s">
        <v>8821</v>
      </c>
      <c r="F2839" t="s">
        <v>8822</v>
      </c>
    </row>
    <row r="2840" spans="1:6" x14ac:dyDescent="0.25">
      <c r="A2840" t="s">
        <v>1677</v>
      </c>
      <c r="B2840" t="str">
        <f>"85392192      "</f>
        <v xml:space="preserve">85392192      </v>
      </c>
      <c r="C2840" t="s">
        <v>8823</v>
      </c>
      <c r="D2840" t="s">
        <v>8823</v>
      </c>
      <c r="E2840" t="s">
        <v>8824</v>
      </c>
      <c r="F2840" t="s">
        <v>8825</v>
      </c>
    </row>
    <row r="2841" spans="1:6" x14ac:dyDescent="0.25">
      <c r="A2841" t="s">
        <v>1677</v>
      </c>
      <c r="B2841" t="str">
        <f>"85392198      "</f>
        <v xml:space="preserve">85392198      </v>
      </c>
      <c r="C2841" t="s">
        <v>8826</v>
      </c>
      <c r="D2841" t="s">
        <v>8826</v>
      </c>
      <c r="E2841" t="s">
        <v>8827</v>
      </c>
      <c r="F2841" t="s">
        <v>8828</v>
      </c>
    </row>
    <row r="2842" spans="1:6" x14ac:dyDescent="0.25">
      <c r="A2842" t="s">
        <v>1677</v>
      </c>
      <c r="B2842" t="str">
        <f>"85392210      "</f>
        <v xml:space="preserve">85392210      </v>
      </c>
      <c r="C2842" t="s">
        <v>8829</v>
      </c>
      <c r="D2842" t="s">
        <v>8829</v>
      </c>
      <c r="E2842" t="s">
        <v>8830</v>
      </c>
      <c r="F2842" t="s">
        <v>8831</v>
      </c>
    </row>
    <row r="2843" spans="1:6" x14ac:dyDescent="0.25">
      <c r="A2843" t="s">
        <v>1677</v>
      </c>
      <c r="B2843" t="str">
        <f>"85392290      "</f>
        <v xml:space="preserve">85392290      </v>
      </c>
      <c r="C2843" t="s">
        <v>6775</v>
      </c>
      <c r="D2843" t="s">
        <v>6775</v>
      </c>
      <c r="E2843" t="s">
        <v>8832</v>
      </c>
      <c r="F2843" t="s">
        <v>8833</v>
      </c>
    </row>
    <row r="2844" spans="1:6" x14ac:dyDescent="0.25">
      <c r="A2844" t="s">
        <v>1677</v>
      </c>
      <c r="B2844" t="str">
        <f>"85392930      "</f>
        <v xml:space="preserve">85392930      </v>
      </c>
      <c r="C2844" t="s">
        <v>8820</v>
      </c>
      <c r="D2844" t="s">
        <v>8820</v>
      </c>
      <c r="E2844" t="s">
        <v>8834</v>
      </c>
      <c r="F2844" t="s">
        <v>8835</v>
      </c>
    </row>
    <row r="2845" spans="1:6" x14ac:dyDescent="0.25">
      <c r="A2845" t="s">
        <v>1677</v>
      </c>
      <c r="B2845" t="str">
        <f>"85392992      "</f>
        <v xml:space="preserve">85392992      </v>
      </c>
      <c r="C2845" t="s">
        <v>8823</v>
      </c>
      <c r="D2845" t="s">
        <v>8823</v>
      </c>
      <c r="E2845" t="s">
        <v>8836</v>
      </c>
      <c r="F2845" t="s">
        <v>8837</v>
      </c>
    </row>
    <row r="2846" spans="1:6" x14ac:dyDescent="0.25">
      <c r="A2846" t="s">
        <v>1677</v>
      </c>
      <c r="B2846" t="str">
        <f>"85392998      "</f>
        <v xml:space="preserve">85392998      </v>
      </c>
      <c r="C2846" t="s">
        <v>8826</v>
      </c>
      <c r="D2846" t="s">
        <v>8826</v>
      </c>
      <c r="E2846" t="s">
        <v>8838</v>
      </c>
      <c r="F2846" t="s">
        <v>8839</v>
      </c>
    </row>
    <row r="2847" spans="1:6" x14ac:dyDescent="0.25">
      <c r="A2847" t="s">
        <v>1677</v>
      </c>
      <c r="B2847" t="str">
        <f>"85393110      "</f>
        <v xml:space="preserve">85393110      </v>
      </c>
      <c r="C2847" t="s">
        <v>8840</v>
      </c>
      <c r="D2847" t="s">
        <v>8840</v>
      </c>
      <c r="E2847" t="s">
        <v>8841</v>
      </c>
      <c r="F2847" t="s">
        <v>8842</v>
      </c>
    </row>
    <row r="2848" spans="1:6" x14ac:dyDescent="0.25">
      <c r="A2848" t="s">
        <v>1677</v>
      </c>
      <c r="B2848" t="str">
        <f>"85393190      "</f>
        <v xml:space="preserve">85393190      </v>
      </c>
      <c r="C2848" t="s">
        <v>6775</v>
      </c>
      <c r="D2848" t="s">
        <v>6775</v>
      </c>
      <c r="E2848" t="s">
        <v>8843</v>
      </c>
      <c r="F2848" t="s">
        <v>8844</v>
      </c>
    </row>
    <row r="2849" spans="1:6" x14ac:dyDescent="0.25">
      <c r="A2849" t="s">
        <v>1677</v>
      </c>
      <c r="B2849" t="str">
        <f>"85393220      "</f>
        <v xml:space="preserve">85393220      </v>
      </c>
      <c r="C2849" t="s">
        <v>8845</v>
      </c>
      <c r="D2849" t="s">
        <v>8845</v>
      </c>
      <c r="E2849" t="s">
        <v>8846</v>
      </c>
      <c r="F2849" t="s">
        <v>8847</v>
      </c>
    </row>
    <row r="2850" spans="1:6" x14ac:dyDescent="0.25">
      <c r="A2850" t="s">
        <v>1677</v>
      </c>
      <c r="B2850" t="str">
        <f>"85393290      "</f>
        <v xml:space="preserve">85393290      </v>
      </c>
      <c r="C2850" t="s">
        <v>8848</v>
      </c>
      <c r="D2850" t="s">
        <v>8848</v>
      </c>
      <c r="E2850" t="s">
        <v>8849</v>
      </c>
      <c r="F2850" t="s">
        <v>8850</v>
      </c>
    </row>
    <row r="2851" spans="1:6" x14ac:dyDescent="0.25">
      <c r="A2851" t="s">
        <v>1677</v>
      </c>
      <c r="B2851" t="str">
        <f>"85393920      "</f>
        <v xml:space="preserve">85393920      </v>
      </c>
      <c r="C2851" t="s">
        <v>8851</v>
      </c>
      <c r="D2851" t="s">
        <v>8851</v>
      </c>
      <c r="E2851" t="s">
        <v>8852</v>
      </c>
      <c r="F2851" t="s">
        <v>8853</v>
      </c>
    </row>
    <row r="2852" spans="1:6" x14ac:dyDescent="0.25">
      <c r="A2852" t="s">
        <v>1677</v>
      </c>
      <c r="B2852" t="str">
        <f>"85393980      "</f>
        <v xml:space="preserve">85393980      </v>
      </c>
      <c r="C2852" t="s">
        <v>6775</v>
      </c>
      <c r="D2852" t="s">
        <v>6775</v>
      </c>
      <c r="E2852" t="s">
        <v>8854</v>
      </c>
      <c r="F2852" t="s">
        <v>8855</v>
      </c>
    </row>
    <row r="2853" spans="1:6" x14ac:dyDescent="0.25">
      <c r="A2853" t="s">
        <v>1677</v>
      </c>
      <c r="B2853" t="str">
        <f>"85394100      "</f>
        <v xml:space="preserve">85394100      </v>
      </c>
      <c r="C2853" t="s">
        <v>8856</v>
      </c>
      <c r="D2853" t="s">
        <v>8856</v>
      </c>
      <c r="E2853" t="s">
        <v>8857</v>
      </c>
      <c r="F2853" t="s">
        <v>8858</v>
      </c>
    </row>
    <row r="2854" spans="1:6" x14ac:dyDescent="0.25">
      <c r="A2854" t="s">
        <v>1677</v>
      </c>
      <c r="B2854" t="str">
        <f>"85394900      "</f>
        <v xml:space="preserve">85394900      </v>
      </c>
      <c r="C2854" t="s">
        <v>6775</v>
      </c>
      <c r="D2854" t="s">
        <v>6775</v>
      </c>
      <c r="E2854" t="s">
        <v>8859</v>
      </c>
      <c r="F2854" t="s">
        <v>8860</v>
      </c>
    </row>
    <row r="2855" spans="1:6" x14ac:dyDescent="0.25">
      <c r="A2855" t="s">
        <v>1677</v>
      </c>
      <c r="B2855" t="str">
        <f>"85399010      "</f>
        <v xml:space="preserve">85399010      </v>
      </c>
      <c r="C2855" t="s">
        <v>8861</v>
      </c>
      <c r="D2855" t="s">
        <v>8861</v>
      </c>
      <c r="E2855" t="s">
        <v>8862</v>
      </c>
      <c r="F2855" t="s">
        <v>8863</v>
      </c>
    </row>
    <row r="2856" spans="1:6" x14ac:dyDescent="0.25">
      <c r="A2856" t="s">
        <v>1677</v>
      </c>
      <c r="B2856" t="str">
        <f>"85399090      "</f>
        <v xml:space="preserve">85399090      </v>
      </c>
      <c r="C2856" t="s">
        <v>6775</v>
      </c>
      <c r="D2856" t="s">
        <v>6775</v>
      </c>
      <c r="E2856" t="s">
        <v>8864</v>
      </c>
      <c r="F2856" t="s">
        <v>8865</v>
      </c>
    </row>
    <row r="2857" spans="1:6" x14ac:dyDescent="0.25">
      <c r="A2857" t="s">
        <v>1677</v>
      </c>
      <c r="B2857" t="str">
        <f>"85411000      "</f>
        <v xml:space="preserve">85411000      </v>
      </c>
      <c r="C2857" t="s">
        <v>8866</v>
      </c>
      <c r="D2857" t="s">
        <v>8866</v>
      </c>
      <c r="E2857" t="s">
        <v>8867</v>
      </c>
      <c r="F2857" t="s">
        <v>8868</v>
      </c>
    </row>
    <row r="2858" spans="1:6" x14ac:dyDescent="0.25">
      <c r="A2858" t="s">
        <v>1677</v>
      </c>
      <c r="B2858" t="str">
        <f>"85412100      "</f>
        <v xml:space="preserve">85412100      </v>
      </c>
      <c r="C2858" t="s">
        <v>8869</v>
      </c>
      <c r="D2858" t="s">
        <v>8869</v>
      </c>
      <c r="E2858" t="s">
        <v>8870</v>
      </c>
      <c r="F2858" t="s">
        <v>8871</v>
      </c>
    </row>
    <row r="2859" spans="1:6" x14ac:dyDescent="0.25">
      <c r="A2859" t="s">
        <v>1677</v>
      </c>
      <c r="B2859" t="str">
        <f>"85412900      "</f>
        <v xml:space="preserve">85412900      </v>
      </c>
      <c r="C2859" t="s">
        <v>6775</v>
      </c>
      <c r="D2859" t="s">
        <v>6775</v>
      </c>
      <c r="E2859" t="s">
        <v>8872</v>
      </c>
      <c r="F2859" t="s">
        <v>8873</v>
      </c>
    </row>
    <row r="2860" spans="1:6" x14ac:dyDescent="0.25">
      <c r="A2860" t="s">
        <v>1677</v>
      </c>
      <c r="B2860" t="str">
        <f>"85413000      "</f>
        <v xml:space="preserve">85413000      </v>
      </c>
      <c r="C2860" t="s">
        <v>8874</v>
      </c>
      <c r="D2860" t="s">
        <v>8874</v>
      </c>
      <c r="E2860" t="s">
        <v>8875</v>
      </c>
      <c r="F2860" t="s">
        <v>8876</v>
      </c>
    </row>
    <row r="2861" spans="1:6" x14ac:dyDescent="0.25">
      <c r="A2861" t="s">
        <v>1677</v>
      </c>
      <c r="B2861" t="str">
        <f>"85416000      "</f>
        <v xml:space="preserve">85416000      </v>
      </c>
      <c r="C2861" t="s">
        <v>8877</v>
      </c>
      <c r="D2861" t="s">
        <v>8877</v>
      </c>
      <c r="E2861" t="s">
        <v>8878</v>
      </c>
      <c r="F2861" t="s">
        <v>8879</v>
      </c>
    </row>
    <row r="2862" spans="1:6" x14ac:dyDescent="0.25">
      <c r="A2862" t="s">
        <v>1677</v>
      </c>
      <c r="B2862" t="str">
        <f>"85419000      "</f>
        <v xml:space="preserve">85419000      </v>
      </c>
      <c r="C2862" t="s">
        <v>8657</v>
      </c>
      <c r="D2862" t="s">
        <v>8657</v>
      </c>
      <c r="E2862" t="s">
        <v>8880</v>
      </c>
      <c r="F2862" t="s">
        <v>8881</v>
      </c>
    </row>
    <row r="2863" spans="1:6" x14ac:dyDescent="0.25">
      <c r="A2863" t="s">
        <v>1677</v>
      </c>
      <c r="B2863" t="str">
        <f>"85423111      "</f>
        <v xml:space="preserve">85423111      </v>
      </c>
      <c r="C2863" t="s">
        <v>8882</v>
      </c>
      <c r="D2863" t="s">
        <v>8882</v>
      </c>
      <c r="E2863" t="s">
        <v>8883</v>
      </c>
      <c r="F2863" t="s">
        <v>8884</v>
      </c>
    </row>
    <row r="2864" spans="1:6" x14ac:dyDescent="0.25">
      <c r="A2864" t="s">
        <v>1677</v>
      </c>
      <c r="B2864" t="str">
        <f>"85423119      "</f>
        <v xml:space="preserve">85423119      </v>
      </c>
      <c r="C2864" t="s">
        <v>6775</v>
      </c>
      <c r="D2864" t="s">
        <v>6775</v>
      </c>
      <c r="E2864" t="s">
        <v>8885</v>
      </c>
      <c r="F2864" t="s">
        <v>8886</v>
      </c>
    </row>
    <row r="2865" spans="1:6" x14ac:dyDescent="0.25">
      <c r="A2865" t="s">
        <v>1677</v>
      </c>
      <c r="B2865" t="str">
        <f>"85423211      "</f>
        <v xml:space="preserve">85423211      </v>
      </c>
      <c r="C2865" t="s">
        <v>8882</v>
      </c>
      <c r="D2865" t="s">
        <v>8882</v>
      </c>
      <c r="E2865" t="s">
        <v>8887</v>
      </c>
      <c r="F2865" t="s">
        <v>8888</v>
      </c>
    </row>
    <row r="2866" spans="1:6" x14ac:dyDescent="0.25">
      <c r="A2866" t="s">
        <v>1677</v>
      </c>
      <c r="B2866" t="str">
        <f>"85423219      "</f>
        <v xml:space="preserve">85423219      </v>
      </c>
      <c r="C2866" t="s">
        <v>6775</v>
      </c>
      <c r="D2866" t="s">
        <v>6775</v>
      </c>
      <c r="E2866" t="s">
        <v>8889</v>
      </c>
      <c r="F2866" t="s">
        <v>8890</v>
      </c>
    </row>
    <row r="2867" spans="1:6" x14ac:dyDescent="0.25">
      <c r="A2867" t="s">
        <v>1677</v>
      </c>
      <c r="B2867" t="str">
        <f>"85423911      "</f>
        <v xml:space="preserve">85423911      </v>
      </c>
      <c r="C2867" t="s">
        <v>8882</v>
      </c>
      <c r="D2867" t="s">
        <v>8882</v>
      </c>
      <c r="E2867" t="s">
        <v>8891</v>
      </c>
      <c r="F2867" t="s">
        <v>8892</v>
      </c>
    </row>
    <row r="2868" spans="1:6" x14ac:dyDescent="0.25">
      <c r="A2868" t="s">
        <v>1677</v>
      </c>
      <c r="B2868" t="str">
        <f>"85423919      "</f>
        <v xml:space="preserve">85423919      </v>
      </c>
      <c r="C2868" t="s">
        <v>6775</v>
      </c>
      <c r="D2868" t="s">
        <v>6775</v>
      </c>
      <c r="E2868" t="s">
        <v>8893</v>
      </c>
      <c r="F2868" t="s">
        <v>8894</v>
      </c>
    </row>
    <row r="2869" spans="1:6" x14ac:dyDescent="0.25">
      <c r="A2869" t="s">
        <v>1677</v>
      </c>
      <c r="B2869" t="str">
        <f>"87023010      "</f>
        <v xml:space="preserve">87023010      </v>
      </c>
      <c r="C2869" t="s">
        <v>8895</v>
      </c>
      <c r="D2869" t="s">
        <v>8895</v>
      </c>
      <c r="E2869" t="s">
        <v>8896</v>
      </c>
      <c r="F2869" t="s">
        <v>8897</v>
      </c>
    </row>
    <row r="2870" spans="1:6" x14ac:dyDescent="0.25">
      <c r="A2870" t="s">
        <v>1677</v>
      </c>
      <c r="B2870" t="str">
        <f>"87023090      "</f>
        <v xml:space="preserve">87023090      </v>
      </c>
      <c r="C2870" t="s">
        <v>8898</v>
      </c>
      <c r="D2870" t="s">
        <v>8898</v>
      </c>
      <c r="E2870" t="s">
        <v>8899</v>
      </c>
      <c r="F2870" t="s">
        <v>8900</v>
      </c>
    </row>
    <row r="2871" spans="1:6" x14ac:dyDescent="0.25">
      <c r="A2871" t="s">
        <v>1677</v>
      </c>
      <c r="B2871" t="str">
        <f>"87032110      "</f>
        <v xml:space="preserve">87032110      </v>
      </c>
      <c r="C2871" t="s">
        <v>8901</v>
      </c>
      <c r="D2871" t="s">
        <v>8901</v>
      </c>
      <c r="E2871" t="s">
        <v>8902</v>
      </c>
      <c r="F2871" t="s">
        <v>8903</v>
      </c>
    </row>
    <row r="2872" spans="1:6" x14ac:dyDescent="0.25">
      <c r="A2872" t="s">
        <v>1677</v>
      </c>
      <c r="B2872" t="str">
        <f>"87032190      "</f>
        <v xml:space="preserve">87032190      </v>
      </c>
      <c r="C2872" t="s">
        <v>8904</v>
      </c>
      <c r="D2872" t="s">
        <v>8904</v>
      </c>
      <c r="E2872" t="s">
        <v>8905</v>
      </c>
      <c r="F2872" t="s">
        <v>8906</v>
      </c>
    </row>
    <row r="2873" spans="1:6" x14ac:dyDescent="0.25">
      <c r="A2873" t="s">
        <v>1677</v>
      </c>
      <c r="B2873" t="str">
        <f>"87032210      "</f>
        <v xml:space="preserve">87032210      </v>
      </c>
      <c r="C2873" t="s">
        <v>8901</v>
      </c>
      <c r="D2873" t="s">
        <v>8901</v>
      </c>
      <c r="E2873" t="s">
        <v>8907</v>
      </c>
      <c r="F2873" t="s">
        <v>8908</v>
      </c>
    </row>
    <row r="2874" spans="1:6" x14ac:dyDescent="0.25">
      <c r="A2874" t="s">
        <v>1677</v>
      </c>
      <c r="B2874" t="str">
        <f>"87032290      "</f>
        <v xml:space="preserve">87032290      </v>
      </c>
      <c r="C2874" t="s">
        <v>8904</v>
      </c>
      <c r="D2874" t="s">
        <v>8904</v>
      </c>
      <c r="E2874" t="s">
        <v>8909</v>
      </c>
      <c r="F2874" t="s">
        <v>8910</v>
      </c>
    </row>
    <row r="2875" spans="1:6" x14ac:dyDescent="0.25">
      <c r="A2875" t="s">
        <v>1677</v>
      </c>
      <c r="B2875" t="str">
        <f>"87032311      "</f>
        <v xml:space="preserve">87032311      </v>
      </c>
      <c r="C2875" t="s">
        <v>8911</v>
      </c>
      <c r="D2875" t="s">
        <v>8911</v>
      </c>
      <c r="E2875" t="s">
        <v>8912</v>
      </c>
      <c r="F2875" t="s">
        <v>8913</v>
      </c>
    </row>
    <row r="2876" spans="1:6" x14ac:dyDescent="0.25">
      <c r="A2876" t="s">
        <v>1677</v>
      </c>
      <c r="B2876" t="str">
        <f>"87032319      "</f>
        <v xml:space="preserve">87032319      </v>
      </c>
      <c r="C2876" t="s">
        <v>6775</v>
      </c>
      <c r="D2876" t="s">
        <v>6775</v>
      </c>
      <c r="E2876" t="s">
        <v>8914</v>
      </c>
      <c r="F2876" t="s">
        <v>8915</v>
      </c>
    </row>
    <row r="2877" spans="1:6" x14ac:dyDescent="0.25">
      <c r="A2877" t="s">
        <v>1677</v>
      </c>
      <c r="B2877" t="str">
        <f>"87032390      "</f>
        <v xml:space="preserve">87032390      </v>
      </c>
      <c r="C2877" t="s">
        <v>8904</v>
      </c>
      <c r="D2877" t="s">
        <v>8904</v>
      </c>
      <c r="E2877" t="s">
        <v>8916</v>
      </c>
      <c r="F2877" t="s">
        <v>8917</v>
      </c>
    </row>
    <row r="2878" spans="1:6" x14ac:dyDescent="0.25">
      <c r="A2878" t="s">
        <v>1677</v>
      </c>
      <c r="B2878" t="str">
        <f>"87032410      "</f>
        <v xml:space="preserve">87032410      </v>
      </c>
      <c r="C2878" t="s">
        <v>8901</v>
      </c>
      <c r="D2878" t="s">
        <v>8901</v>
      </c>
      <c r="E2878" t="s">
        <v>8918</v>
      </c>
      <c r="F2878" t="s">
        <v>8919</v>
      </c>
    </row>
    <row r="2879" spans="1:6" x14ac:dyDescent="0.25">
      <c r="A2879" t="s">
        <v>1677</v>
      </c>
      <c r="B2879" t="str">
        <f>"87032490      "</f>
        <v xml:space="preserve">87032490      </v>
      </c>
      <c r="C2879" t="s">
        <v>8904</v>
      </c>
      <c r="D2879" t="s">
        <v>8904</v>
      </c>
      <c r="E2879" t="s">
        <v>8920</v>
      </c>
      <c r="F2879" t="s">
        <v>8921</v>
      </c>
    </row>
    <row r="2880" spans="1:6" x14ac:dyDescent="0.25">
      <c r="A2880" t="s">
        <v>1677</v>
      </c>
      <c r="B2880" t="str">
        <f>"87034010      "</f>
        <v xml:space="preserve">87034010      </v>
      </c>
      <c r="C2880" t="s">
        <v>8901</v>
      </c>
      <c r="D2880" t="s">
        <v>8901</v>
      </c>
      <c r="E2880" t="s">
        <v>8922</v>
      </c>
      <c r="F2880" t="s">
        <v>8923</v>
      </c>
    </row>
    <row r="2881" spans="1:6" x14ac:dyDescent="0.25">
      <c r="A2881" t="s">
        <v>1677</v>
      </c>
      <c r="B2881" t="str">
        <f>"87034090      "</f>
        <v xml:space="preserve">87034090      </v>
      </c>
      <c r="C2881" t="s">
        <v>8904</v>
      </c>
      <c r="D2881" t="s">
        <v>8904</v>
      </c>
      <c r="E2881" t="s">
        <v>8924</v>
      </c>
      <c r="F2881" t="s">
        <v>8925</v>
      </c>
    </row>
    <row r="2882" spans="1:6" x14ac:dyDescent="0.25">
      <c r="A2882" t="s">
        <v>1677</v>
      </c>
      <c r="B2882" t="str">
        <f>"87036010      "</f>
        <v xml:space="preserve">87036010      </v>
      </c>
      <c r="C2882" t="s">
        <v>8901</v>
      </c>
      <c r="D2882" t="s">
        <v>8901</v>
      </c>
      <c r="E2882" t="s">
        <v>8926</v>
      </c>
      <c r="F2882" t="s">
        <v>8927</v>
      </c>
    </row>
    <row r="2883" spans="1:6" x14ac:dyDescent="0.25">
      <c r="A2883" t="s">
        <v>1677</v>
      </c>
      <c r="B2883" t="str">
        <f>"87036090      "</f>
        <v xml:space="preserve">87036090      </v>
      </c>
      <c r="C2883" t="s">
        <v>8904</v>
      </c>
      <c r="D2883" t="s">
        <v>8904</v>
      </c>
      <c r="E2883" t="s">
        <v>8928</v>
      </c>
      <c r="F2883" t="s">
        <v>8929</v>
      </c>
    </row>
    <row r="2884" spans="1:6" x14ac:dyDescent="0.25">
      <c r="A2884" t="s">
        <v>1677</v>
      </c>
      <c r="B2884" t="str">
        <f>"87042110      "</f>
        <v xml:space="preserve">87042110      </v>
      </c>
      <c r="C2884" t="s">
        <v>8930</v>
      </c>
      <c r="D2884" t="s">
        <v>8930</v>
      </c>
      <c r="E2884" t="s">
        <v>8931</v>
      </c>
      <c r="F2884" t="s">
        <v>8932</v>
      </c>
    </row>
    <row r="2885" spans="1:6" x14ac:dyDescent="0.25">
      <c r="A2885" t="s">
        <v>1677</v>
      </c>
      <c r="B2885" t="str">
        <f>"87042131      "</f>
        <v xml:space="preserve">87042131      </v>
      </c>
      <c r="C2885" t="s">
        <v>8901</v>
      </c>
      <c r="D2885" t="s">
        <v>8901</v>
      </c>
      <c r="E2885" t="s">
        <v>8933</v>
      </c>
      <c r="F2885" t="s">
        <v>8934</v>
      </c>
    </row>
    <row r="2886" spans="1:6" x14ac:dyDescent="0.25">
      <c r="A2886" t="s">
        <v>1677</v>
      </c>
      <c r="B2886" t="str">
        <f>"87042139      "</f>
        <v xml:space="preserve">87042139      </v>
      </c>
      <c r="C2886" t="s">
        <v>8904</v>
      </c>
      <c r="D2886" t="s">
        <v>8904</v>
      </c>
      <c r="E2886" t="s">
        <v>8935</v>
      </c>
      <c r="F2886" t="s">
        <v>8936</v>
      </c>
    </row>
    <row r="2887" spans="1:6" x14ac:dyDescent="0.25">
      <c r="A2887" t="s">
        <v>1677</v>
      </c>
      <c r="B2887" t="str">
        <f>"87042191      "</f>
        <v xml:space="preserve">87042191      </v>
      </c>
      <c r="C2887" t="s">
        <v>8901</v>
      </c>
      <c r="D2887" t="s">
        <v>8901</v>
      </c>
      <c r="E2887" t="s">
        <v>8937</v>
      </c>
      <c r="F2887" t="s">
        <v>8938</v>
      </c>
    </row>
    <row r="2888" spans="1:6" x14ac:dyDescent="0.25">
      <c r="A2888" t="s">
        <v>1677</v>
      </c>
      <c r="B2888" t="str">
        <f>"87042199      "</f>
        <v xml:space="preserve">87042199      </v>
      </c>
      <c r="C2888" t="s">
        <v>8904</v>
      </c>
      <c r="D2888" t="s">
        <v>8904</v>
      </c>
      <c r="E2888" t="s">
        <v>8939</v>
      </c>
      <c r="F2888" t="s">
        <v>8940</v>
      </c>
    </row>
    <row r="2889" spans="1:6" x14ac:dyDescent="0.25">
      <c r="A2889" t="s">
        <v>1677</v>
      </c>
      <c r="B2889" t="str">
        <f>"87042210      "</f>
        <v xml:space="preserve">87042210      </v>
      </c>
      <c r="C2889" t="s">
        <v>8930</v>
      </c>
      <c r="D2889" t="s">
        <v>8930</v>
      </c>
      <c r="E2889" t="s">
        <v>8941</v>
      </c>
      <c r="F2889" t="s">
        <v>8942</v>
      </c>
    </row>
    <row r="2890" spans="1:6" x14ac:dyDescent="0.25">
      <c r="A2890" t="s">
        <v>1677</v>
      </c>
      <c r="B2890" t="str">
        <f>"87042291      "</f>
        <v xml:space="preserve">87042291      </v>
      </c>
      <c r="C2890" t="s">
        <v>8901</v>
      </c>
      <c r="D2890" t="s">
        <v>8901</v>
      </c>
      <c r="E2890" t="s">
        <v>8943</v>
      </c>
      <c r="F2890" t="s">
        <v>8944</v>
      </c>
    </row>
    <row r="2891" spans="1:6" x14ac:dyDescent="0.25">
      <c r="A2891" t="s">
        <v>1677</v>
      </c>
      <c r="B2891" t="str">
        <f>"87042299      "</f>
        <v xml:space="preserve">87042299      </v>
      </c>
      <c r="C2891" t="s">
        <v>8904</v>
      </c>
      <c r="D2891" t="s">
        <v>8904</v>
      </c>
      <c r="E2891" t="s">
        <v>8945</v>
      </c>
      <c r="F2891" t="s">
        <v>8946</v>
      </c>
    </row>
    <row r="2892" spans="1:6" x14ac:dyDescent="0.25">
      <c r="A2892" t="s">
        <v>1677</v>
      </c>
      <c r="B2892" t="str">
        <f>"87042310      "</f>
        <v xml:space="preserve">87042310      </v>
      </c>
      <c r="C2892" t="s">
        <v>8930</v>
      </c>
      <c r="D2892" t="s">
        <v>8930</v>
      </c>
      <c r="E2892" t="s">
        <v>8947</v>
      </c>
      <c r="F2892" t="s">
        <v>8948</v>
      </c>
    </row>
    <row r="2893" spans="1:6" x14ac:dyDescent="0.25">
      <c r="A2893" t="s">
        <v>1677</v>
      </c>
      <c r="B2893" t="str">
        <f>"87042391      "</f>
        <v xml:space="preserve">87042391      </v>
      </c>
      <c r="C2893" t="s">
        <v>8901</v>
      </c>
      <c r="D2893" t="s">
        <v>8901</v>
      </c>
      <c r="E2893" t="s">
        <v>8949</v>
      </c>
      <c r="F2893" t="s">
        <v>8950</v>
      </c>
    </row>
    <row r="2894" spans="1:6" x14ac:dyDescent="0.25">
      <c r="A2894" t="s">
        <v>1677</v>
      </c>
      <c r="B2894" t="str">
        <f>"87042399      "</f>
        <v xml:space="preserve">87042399      </v>
      </c>
      <c r="C2894" t="s">
        <v>8904</v>
      </c>
      <c r="D2894" t="s">
        <v>8904</v>
      </c>
      <c r="E2894" t="s">
        <v>8951</v>
      </c>
      <c r="F2894" t="s">
        <v>8952</v>
      </c>
    </row>
    <row r="2895" spans="1:6" x14ac:dyDescent="0.25">
      <c r="A2895" t="s">
        <v>1677</v>
      </c>
      <c r="B2895" t="str">
        <f>"87043110      "</f>
        <v xml:space="preserve">87043110      </v>
      </c>
      <c r="C2895" t="s">
        <v>8930</v>
      </c>
      <c r="D2895" t="s">
        <v>8930</v>
      </c>
      <c r="E2895" t="s">
        <v>8953</v>
      </c>
      <c r="F2895" t="s">
        <v>8954</v>
      </c>
    </row>
    <row r="2896" spans="1:6" x14ac:dyDescent="0.25">
      <c r="A2896" t="s">
        <v>1677</v>
      </c>
      <c r="B2896" t="str">
        <f>"87043131      "</f>
        <v xml:space="preserve">87043131      </v>
      </c>
      <c r="C2896" t="s">
        <v>8901</v>
      </c>
      <c r="D2896" t="s">
        <v>8901</v>
      </c>
      <c r="E2896" t="s">
        <v>8955</v>
      </c>
      <c r="F2896" t="s">
        <v>8956</v>
      </c>
    </row>
    <row r="2897" spans="1:6" x14ac:dyDescent="0.25">
      <c r="A2897" t="s">
        <v>1677</v>
      </c>
      <c r="B2897" t="str">
        <f>"87043139      "</f>
        <v xml:space="preserve">87043139      </v>
      </c>
      <c r="C2897" t="s">
        <v>8904</v>
      </c>
      <c r="D2897" t="s">
        <v>8904</v>
      </c>
      <c r="E2897" t="s">
        <v>8957</v>
      </c>
      <c r="F2897" t="s">
        <v>8958</v>
      </c>
    </row>
    <row r="2898" spans="1:6" x14ac:dyDescent="0.25">
      <c r="A2898" t="s">
        <v>1677</v>
      </c>
      <c r="B2898" t="str">
        <f>"87043191      "</f>
        <v xml:space="preserve">87043191      </v>
      </c>
      <c r="C2898" t="s">
        <v>8901</v>
      </c>
      <c r="D2898" t="s">
        <v>8901</v>
      </c>
      <c r="E2898" t="s">
        <v>8959</v>
      </c>
      <c r="F2898" t="s">
        <v>8960</v>
      </c>
    </row>
    <row r="2899" spans="1:6" x14ac:dyDescent="0.25">
      <c r="A2899" t="s">
        <v>1677</v>
      </c>
      <c r="B2899" t="str">
        <f>"87043199      "</f>
        <v xml:space="preserve">87043199      </v>
      </c>
      <c r="C2899" t="s">
        <v>8904</v>
      </c>
      <c r="D2899" t="s">
        <v>8904</v>
      </c>
      <c r="E2899" t="s">
        <v>8961</v>
      </c>
      <c r="F2899" t="s">
        <v>8962</v>
      </c>
    </row>
    <row r="2900" spans="1:6" x14ac:dyDescent="0.25">
      <c r="A2900" t="s">
        <v>1677</v>
      </c>
      <c r="B2900" t="str">
        <f>"87043210      "</f>
        <v xml:space="preserve">87043210      </v>
      </c>
      <c r="C2900" t="s">
        <v>8930</v>
      </c>
      <c r="D2900" t="s">
        <v>8930</v>
      </c>
      <c r="E2900" t="s">
        <v>8963</v>
      </c>
      <c r="F2900" t="s">
        <v>8964</v>
      </c>
    </row>
    <row r="2901" spans="1:6" x14ac:dyDescent="0.25">
      <c r="A2901" t="s">
        <v>1677</v>
      </c>
      <c r="B2901" t="str">
        <f>"87043291      "</f>
        <v xml:space="preserve">87043291      </v>
      </c>
      <c r="C2901" t="s">
        <v>8901</v>
      </c>
      <c r="D2901" t="s">
        <v>8901</v>
      </c>
      <c r="E2901" t="s">
        <v>8965</v>
      </c>
      <c r="F2901" t="s">
        <v>8966</v>
      </c>
    </row>
    <row r="2902" spans="1:6" x14ac:dyDescent="0.25">
      <c r="A2902" t="s">
        <v>1677</v>
      </c>
      <c r="B2902" t="str">
        <f>"87043299      "</f>
        <v xml:space="preserve">87043299      </v>
      </c>
      <c r="C2902" t="s">
        <v>8904</v>
      </c>
      <c r="D2902" t="s">
        <v>8904</v>
      </c>
      <c r="E2902" t="s">
        <v>8967</v>
      </c>
      <c r="F2902" t="s">
        <v>8968</v>
      </c>
    </row>
    <row r="2903" spans="1:6" x14ac:dyDescent="0.25">
      <c r="A2903" t="s">
        <v>1677</v>
      </c>
      <c r="B2903" t="str">
        <f>"87111000      "</f>
        <v xml:space="preserve">87111000      </v>
      </c>
      <c r="C2903" t="s">
        <v>8969</v>
      </c>
      <c r="D2903" t="s">
        <v>8970</v>
      </c>
      <c r="E2903" t="s">
        <v>8971</v>
      </c>
      <c r="F2903" t="s">
        <v>8972</v>
      </c>
    </row>
    <row r="2904" spans="1:6" x14ac:dyDescent="0.25">
      <c r="A2904" t="s">
        <v>1677</v>
      </c>
      <c r="B2904" t="str">
        <f>"87112010      "</f>
        <v xml:space="preserve">87112010      </v>
      </c>
      <c r="C2904" t="s">
        <v>8973</v>
      </c>
      <c r="D2904" t="s">
        <v>8973</v>
      </c>
      <c r="E2904" t="s">
        <v>8974</v>
      </c>
      <c r="F2904" t="s">
        <v>8975</v>
      </c>
    </row>
    <row r="2905" spans="1:6" x14ac:dyDescent="0.25">
      <c r="A2905" t="s">
        <v>1677</v>
      </c>
      <c r="B2905" t="str">
        <f>"87112092      "</f>
        <v xml:space="preserve">87112092      </v>
      </c>
      <c r="C2905" t="s">
        <v>8976</v>
      </c>
      <c r="D2905" t="s">
        <v>8976</v>
      </c>
      <c r="E2905" t="s">
        <v>8977</v>
      </c>
      <c r="F2905" t="s">
        <v>8978</v>
      </c>
    </row>
    <row r="2906" spans="1:6" x14ac:dyDescent="0.25">
      <c r="A2906" t="s">
        <v>1677</v>
      </c>
      <c r="B2906" t="str">
        <f>"87112098      "</f>
        <v xml:space="preserve">87112098      </v>
      </c>
      <c r="C2906" t="s">
        <v>8979</v>
      </c>
      <c r="D2906" t="s">
        <v>8979</v>
      </c>
      <c r="E2906" t="s">
        <v>8980</v>
      </c>
      <c r="F2906" t="s">
        <v>8981</v>
      </c>
    </row>
    <row r="2907" spans="1:6" x14ac:dyDescent="0.25">
      <c r="A2907" t="s">
        <v>1677</v>
      </c>
      <c r="B2907" t="str">
        <f>"87113010      "</f>
        <v xml:space="preserve">87113010      </v>
      </c>
      <c r="C2907" t="s">
        <v>8982</v>
      </c>
      <c r="D2907" t="s">
        <v>8982</v>
      </c>
      <c r="E2907" t="s">
        <v>8983</v>
      </c>
      <c r="F2907" t="s">
        <v>8984</v>
      </c>
    </row>
    <row r="2908" spans="1:6" x14ac:dyDescent="0.25">
      <c r="A2908" t="s">
        <v>1677</v>
      </c>
      <c r="B2908" t="str">
        <f>"87113090      "</f>
        <v xml:space="preserve">87113090      </v>
      </c>
      <c r="C2908" t="s">
        <v>8985</v>
      </c>
      <c r="D2908" t="s">
        <v>8985</v>
      </c>
      <c r="E2908" t="s">
        <v>8986</v>
      </c>
      <c r="F2908" t="s">
        <v>8987</v>
      </c>
    </row>
    <row r="2909" spans="1:6" x14ac:dyDescent="0.25">
      <c r="A2909" t="s">
        <v>1677</v>
      </c>
      <c r="B2909" t="str">
        <f>"87114000      "</f>
        <v xml:space="preserve">87114000      </v>
      </c>
      <c r="C2909" t="s">
        <v>8988</v>
      </c>
      <c r="D2909" t="s">
        <v>8989</v>
      </c>
      <c r="E2909" t="s">
        <v>8990</v>
      </c>
      <c r="F2909" t="s">
        <v>8991</v>
      </c>
    </row>
    <row r="2910" spans="1:6" x14ac:dyDescent="0.25">
      <c r="A2910" t="s">
        <v>1677</v>
      </c>
      <c r="B2910" t="str">
        <f>"87115000      "</f>
        <v xml:space="preserve">87115000      </v>
      </c>
      <c r="C2910" t="s">
        <v>8992</v>
      </c>
      <c r="D2910" t="s">
        <v>8993</v>
      </c>
      <c r="E2910" t="s">
        <v>8994</v>
      </c>
      <c r="F2910" t="s">
        <v>8995</v>
      </c>
    </row>
    <row r="2911" spans="1:6" x14ac:dyDescent="0.25">
      <c r="A2911" t="s">
        <v>1677</v>
      </c>
      <c r="B2911" t="str">
        <f>"88021100      "</f>
        <v xml:space="preserve">88021100      </v>
      </c>
      <c r="C2911" t="s">
        <v>8996</v>
      </c>
      <c r="D2911" t="s">
        <v>8996</v>
      </c>
      <c r="E2911" t="s">
        <v>8997</v>
      </c>
      <c r="F2911" t="s">
        <v>8998</v>
      </c>
    </row>
    <row r="2912" spans="1:6" x14ac:dyDescent="0.25">
      <c r="A2912" t="s">
        <v>1677</v>
      </c>
      <c r="B2912" t="str">
        <f>"88021200      "</f>
        <v xml:space="preserve">88021200      </v>
      </c>
      <c r="C2912" t="s">
        <v>8999</v>
      </c>
      <c r="D2912" t="s">
        <v>8999</v>
      </c>
      <c r="E2912" t="s">
        <v>9000</v>
      </c>
      <c r="F2912" t="s">
        <v>9001</v>
      </c>
    </row>
    <row r="2913" spans="1:6" x14ac:dyDescent="0.25">
      <c r="A2913" t="s">
        <v>1677</v>
      </c>
      <c r="B2913" t="str">
        <f>"88022000      "</f>
        <v xml:space="preserve">88022000      </v>
      </c>
      <c r="C2913" t="s">
        <v>9002</v>
      </c>
      <c r="D2913" t="s">
        <v>9002</v>
      </c>
      <c r="E2913" t="s">
        <v>9003</v>
      </c>
      <c r="F2913" t="s">
        <v>9004</v>
      </c>
    </row>
    <row r="2914" spans="1:6" x14ac:dyDescent="0.25">
      <c r="A2914" t="s">
        <v>1677</v>
      </c>
      <c r="B2914" t="str">
        <f>"88023000      "</f>
        <v xml:space="preserve">88023000      </v>
      </c>
      <c r="C2914" t="s">
        <v>9005</v>
      </c>
      <c r="D2914" t="s">
        <v>9005</v>
      </c>
      <c r="E2914" t="s">
        <v>9006</v>
      </c>
      <c r="F2914" t="s">
        <v>9007</v>
      </c>
    </row>
    <row r="2915" spans="1:6" x14ac:dyDescent="0.25">
      <c r="A2915" t="s">
        <v>1677</v>
      </c>
      <c r="B2915" t="str">
        <f>"88024000      "</f>
        <v xml:space="preserve">88024000      </v>
      </c>
      <c r="C2915" t="s">
        <v>9008</v>
      </c>
      <c r="D2915" t="s">
        <v>9008</v>
      </c>
      <c r="E2915" t="s">
        <v>9009</v>
      </c>
      <c r="F2915" t="s">
        <v>9010</v>
      </c>
    </row>
    <row r="2916" spans="1:6" x14ac:dyDescent="0.25">
      <c r="A2916" t="s">
        <v>1677</v>
      </c>
      <c r="B2916" t="str">
        <f>"88026011      "</f>
        <v xml:space="preserve">88026011      </v>
      </c>
      <c r="C2916" t="s">
        <v>9011</v>
      </c>
      <c r="D2916" t="s">
        <v>9011</v>
      </c>
      <c r="E2916" t="s">
        <v>9012</v>
      </c>
      <c r="F2916" t="s">
        <v>9013</v>
      </c>
    </row>
    <row r="2917" spans="1:6" x14ac:dyDescent="0.25">
      <c r="A2917" t="s">
        <v>1677</v>
      </c>
      <c r="B2917" t="str">
        <f>"88026019      "</f>
        <v xml:space="preserve">88026019      </v>
      </c>
      <c r="C2917" t="s">
        <v>6775</v>
      </c>
      <c r="D2917" t="s">
        <v>6775</v>
      </c>
      <c r="E2917" t="s">
        <v>9014</v>
      </c>
      <c r="F2917" t="s">
        <v>9015</v>
      </c>
    </row>
    <row r="2918" spans="1:6" x14ac:dyDescent="0.25">
      <c r="A2918" t="s">
        <v>1677</v>
      </c>
      <c r="B2918" t="str">
        <f>"88026090      "</f>
        <v xml:space="preserve">88026090      </v>
      </c>
      <c r="C2918" t="s">
        <v>9016</v>
      </c>
      <c r="D2918" t="s">
        <v>9016</v>
      </c>
      <c r="E2918" t="s">
        <v>9017</v>
      </c>
      <c r="F2918" t="s">
        <v>9018</v>
      </c>
    </row>
    <row r="2919" spans="1:6" x14ac:dyDescent="0.25">
      <c r="A2919" t="s">
        <v>1677</v>
      </c>
      <c r="B2919" t="str">
        <f>"89039999      "</f>
        <v xml:space="preserve">89039999      </v>
      </c>
      <c r="C2919" t="s">
        <v>6775</v>
      </c>
      <c r="D2919" t="s">
        <v>9019</v>
      </c>
      <c r="E2919" t="s">
        <v>9020</v>
      </c>
      <c r="F2919" t="s">
        <v>9021</v>
      </c>
    </row>
    <row r="2920" spans="1:6" x14ac:dyDescent="0.25">
      <c r="A2920" t="s">
        <v>1677</v>
      </c>
      <c r="B2920" t="str">
        <f>"90065310      "</f>
        <v xml:space="preserve">90065310      </v>
      </c>
      <c r="C2920" t="s">
        <v>9022</v>
      </c>
      <c r="D2920" t="s">
        <v>9022</v>
      </c>
      <c r="E2920" t="s">
        <v>9023</v>
      </c>
      <c r="F2920" t="s">
        <v>9024</v>
      </c>
    </row>
    <row r="2921" spans="1:6" x14ac:dyDescent="0.25">
      <c r="A2921" t="s">
        <v>1677</v>
      </c>
      <c r="B2921" t="str">
        <f>"90065380      "</f>
        <v xml:space="preserve">90065380      </v>
      </c>
      <c r="C2921" t="s">
        <v>6775</v>
      </c>
      <c r="D2921" t="s">
        <v>6775</v>
      </c>
      <c r="E2921" t="s">
        <v>9025</v>
      </c>
      <c r="F2921" t="s">
        <v>9026</v>
      </c>
    </row>
    <row r="2922" spans="1:6" x14ac:dyDescent="0.25">
      <c r="A2922" t="s">
        <v>1677</v>
      </c>
      <c r="B2922" t="str">
        <f>"90131010      "</f>
        <v xml:space="preserve">90131010      </v>
      </c>
      <c r="C2922" t="s">
        <v>9027</v>
      </c>
      <c r="D2922" t="s">
        <v>9027</v>
      </c>
      <c r="E2922" t="s">
        <v>9028</v>
      </c>
      <c r="F2922" t="s">
        <v>9029</v>
      </c>
    </row>
    <row r="2923" spans="1:6" x14ac:dyDescent="0.25">
      <c r="A2923" t="s">
        <v>1677</v>
      </c>
      <c r="B2923" t="str">
        <f>"90131090      "</f>
        <v xml:space="preserve">90131090      </v>
      </c>
      <c r="C2923" t="s">
        <v>6775</v>
      </c>
      <c r="D2923" t="s">
        <v>6775</v>
      </c>
      <c r="E2923" t="s">
        <v>9030</v>
      </c>
      <c r="F2923" t="s">
        <v>9031</v>
      </c>
    </row>
    <row r="2924" spans="1:6" x14ac:dyDescent="0.25">
      <c r="A2924" t="s">
        <v>1677</v>
      </c>
      <c r="B2924" t="str">
        <f>"90132000      "</f>
        <v xml:space="preserve">90132000      </v>
      </c>
      <c r="C2924" t="s">
        <v>9032</v>
      </c>
      <c r="D2924" t="s">
        <v>9032</v>
      </c>
      <c r="E2924" t="s">
        <v>9033</v>
      </c>
      <c r="F2924" t="s">
        <v>9034</v>
      </c>
    </row>
    <row r="2925" spans="1:6" x14ac:dyDescent="0.25">
      <c r="A2925" t="s">
        <v>1677</v>
      </c>
      <c r="B2925" t="str">
        <f>"90139005      "</f>
        <v xml:space="preserve">90139005      </v>
      </c>
      <c r="C2925" t="s">
        <v>9035</v>
      </c>
      <c r="D2925" t="s">
        <v>9035</v>
      </c>
      <c r="E2925" t="s">
        <v>9036</v>
      </c>
      <c r="F2925" t="s">
        <v>9037</v>
      </c>
    </row>
    <row r="2926" spans="1:6" x14ac:dyDescent="0.25">
      <c r="A2926" t="s">
        <v>1677</v>
      </c>
      <c r="B2926" t="str">
        <f>"90139080      "</f>
        <v xml:space="preserve">90139080      </v>
      </c>
      <c r="C2926" t="s">
        <v>6775</v>
      </c>
      <c r="D2926" t="s">
        <v>6775</v>
      </c>
      <c r="E2926" t="s">
        <v>9038</v>
      </c>
      <c r="F2926" t="s">
        <v>9039</v>
      </c>
    </row>
    <row r="2927" spans="1:6" x14ac:dyDescent="0.25">
      <c r="A2927" t="s">
        <v>1677</v>
      </c>
      <c r="B2927" t="str">
        <f>"90221200      "</f>
        <v xml:space="preserve">90221200      </v>
      </c>
      <c r="C2927" t="s">
        <v>9040</v>
      </c>
      <c r="D2927" t="s">
        <v>9040</v>
      </c>
      <c r="E2927" t="s">
        <v>9041</v>
      </c>
      <c r="F2927" t="s">
        <v>9042</v>
      </c>
    </row>
    <row r="2928" spans="1:6" x14ac:dyDescent="0.25">
      <c r="A2928" t="s">
        <v>1677</v>
      </c>
      <c r="B2928" t="str">
        <f>"90221300      "</f>
        <v xml:space="preserve">90221300      </v>
      </c>
      <c r="C2928" t="s">
        <v>9043</v>
      </c>
      <c r="D2928" t="s">
        <v>9043</v>
      </c>
      <c r="E2928" t="s">
        <v>9044</v>
      </c>
      <c r="F2928" t="s">
        <v>9045</v>
      </c>
    </row>
    <row r="2929" spans="1:6" x14ac:dyDescent="0.25">
      <c r="A2929" t="s">
        <v>1677</v>
      </c>
      <c r="B2929" t="str">
        <f>"90221400      "</f>
        <v xml:space="preserve">90221400      </v>
      </c>
      <c r="C2929" t="s">
        <v>9046</v>
      </c>
      <c r="D2929" t="s">
        <v>9046</v>
      </c>
      <c r="E2929" t="s">
        <v>9047</v>
      </c>
      <c r="F2929" t="s">
        <v>9048</v>
      </c>
    </row>
    <row r="2930" spans="1:6" x14ac:dyDescent="0.25">
      <c r="A2930" t="s">
        <v>1677</v>
      </c>
      <c r="B2930" t="str">
        <f>"90221900      "</f>
        <v xml:space="preserve">90221900      </v>
      </c>
      <c r="C2930" t="s">
        <v>9049</v>
      </c>
      <c r="D2930" t="s">
        <v>9049</v>
      </c>
      <c r="E2930" t="s">
        <v>9050</v>
      </c>
      <c r="F2930" t="s">
        <v>9051</v>
      </c>
    </row>
    <row r="2931" spans="1:6" x14ac:dyDescent="0.25">
      <c r="A2931" t="s">
        <v>1677</v>
      </c>
      <c r="B2931" t="str">
        <f>"90222100      "</f>
        <v xml:space="preserve">90222100      </v>
      </c>
      <c r="C2931" t="s">
        <v>9052</v>
      </c>
      <c r="D2931" t="s">
        <v>9052</v>
      </c>
      <c r="E2931" t="s">
        <v>9053</v>
      </c>
      <c r="F2931" t="s">
        <v>9054</v>
      </c>
    </row>
    <row r="2932" spans="1:6" x14ac:dyDescent="0.25">
      <c r="A2932" t="s">
        <v>1677</v>
      </c>
      <c r="B2932" t="str">
        <f>"90222900      "</f>
        <v xml:space="preserve">90222900      </v>
      </c>
      <c r="C2932" t="s">
        <v>9049</v>
      </c>
      <c r="D2932" t="s">
        <v>9049</v>
      </c>
      <c r="E2932" t="s">
        <v>9055</v>
      </c>
      <c r="F2932" t="s">
        <v>9056</v>
      </c>
    </row>
    <row r="2933" spans="1:6" x14ac:dyDescent="0.25">
      <c r="A2933" t="s">
        <v>1677</v>
      </c>
      <c r="B2933" t="str">
        <f>"90223000      "</f>
        <v xml:space="preserve">90223000      </v>
      </c>
      <c r="C2933" t="s">
        <v>9057</v>
      </c>
      <c r="D2933" t="s">
        <v>9057</v>
      </c>
      <c r="E2933" t="s">
        <v>9058</v>
      </c>
      <c r="F2933" t="s">
        <v>9059</v>
      </c>
    </row>
    <row r="2934" spans="1:6" x14ac:dyDescent="0.25">
      <c r="A2934" t="s">
        <v>1677</v>
      </c>
      <c r="B2934" t="str">
        <f>"90229020      "</f>
        <v xml:space="preserve">90229020      </v>
      </c>
      <c r="C2934" t="s">
        <v>9060</v>
      </c>
      <c r="D2934" t="s">
        <v>9060</v>
      </c>
      <c r="E2934" t="s">
        <v>9061</v>
      </c>
      <c r="F2934" t="s">
        <v>9062</v>
      </c>
    </row>
    <row r="2935" spans="1:6" x14ac:dyDescent="0.25">
      <c r="A2935" t="s">
        <v>1677</v>
      </c>
      <c r="B2935" t="str">
        <f>"90229080      "</f>
        <v xml:space="preserve">90229080      </v>
      </c>
      <c r="C2935" t="s">
        <v>6775</v>
      </c>
      <c r="D2935" t="s">
        <v>6775</v>
      </c>
      <c r="E2935" t="s">
        <v>9063</v>
      </c>
      <c r="F2935" t="s">
        <v>9064</v>
      </c>
    </row>
    <row r="2936" spans="1:6" x14ac:dyDescent="0.25">
      <c r="A2936" t="s">
        <v>1677</v>
      </c>
      <c r="B2936" t="str">
        <f>"90303100      "</f>
        <v xml:space="preserve">90303100      </v>
      </c>
      <c r="C2936" t="s">
        <v>9065</v>
      </c>
      <c r="D2936" t="s">
        <v>9065</v>
      </c>
      <c r="E2936" t="s">
        <v>9066</v>
      </c>
      <c r="F2936" t="s">
        <v>9067</v>
      </c>
    </row>
    <row r="2937" spans="1:6" x14ac:dyDescent="0.25">
      <c r="A2937" t="s">
        <v>1677</v>
      </c>
      <c r="B2937" t="str">
        <f>"90303200      "</f>
        <v xml:space="preserve">90303200      </v>
      </c>
      <c r="C2937" t="s">
        <v>9068</v>
      </c>
      <c r="D2937" t="s">
        <v>9068</v>
      </c>
      <c r="E2937" t="s">
        <v>9069</v>
      </c>
      <c r="F2937" t="s">
        <v>9070</v>
      </c>
    </row>
    <row r="2938" spans="1:6" x14ac:dyDescent="0.25">
      <c r="A2938" t="s">
        <v>1677</v>
      </c>
      <c r="B2938" t="str">
        <f>"90303320      "</f>
        <v xml:space="preserve">90303320      </v>
      </c>
      <c r="C2938" t="s">
        <v>9071</v>
      </c>
      <c r="D2938" t="s">
        <v>9071</v>
      </c>
      <c r="E2938" t="s">
        <v>9072</v>
      </c>
      <c r="F2938" t="s">
        <v>9073</v>
      </c>
    </row>
    <row r="2939" spans="1:6" x14ac:dyDescent="0.25">
      <c r="A2939" t="s">
        <v>1677</v>
      </c>
      <c r="B2939" t="str">
        <f>"90303370      "</f>
        <v xml:space="preserve">90303370      </v>
      </c>
      <c r="C2939" t="s">
        <v>6775</v>
      </c>
      <c r="D2939" t="s">
        <v>6775</v>
      </c>
      <c r="E2939" t="s">
        <v>9074</v>
      </c>
      <c r="F2939" t="s">
        <v>9075</v>
      </c>
    </row>
    <row r="2940" spans="1:6" x14ac:dyDescent="0.25">
      <c r="A2940" t="s">
        <v>1677</v>
      </c>
      <c r="B2940" t="str">
        <f>"90303900      "</f>
        <v xml:space="preserve">90303900      </v>
      </c>
      <c r="C2940" t="s">
        <v>9076</v>
      </c>
      <c r="D2940" t="s">
        <v>9076</v>
      </c>
      <c r="E2940" t="s">
        <v>9077</v>
      </c>
      <c r="F2940" t="s">
        <v>9078</v>
      </c>
    </row>
    <row r="2941" spans="1:6" x14ac:dyDescent="0.25">
      <c r="A2941" t="s">
        <v>1677</v>
      </c>
      <c r="B2941" t="str">
        <f>"90308200      "</f>
        <v xml:space="preserve">90308200      </v>
      </c>
      <c r="C2941" t="s">
        <v>9079</v>
      </c>
      <c r="D2941" t="s">
        <v>9080</v>
      </c>
      <c r="E2941" t="s">
        <v>9081</v>
      </c>
      <c r="F2941" t="s">
        <v>9082</v>
      </c>
    </row>
    <row r="2942" spans="1:6" x14ac:dyDescent="0.25">
      <c r="A2942" t="s">
        <v>1677</v>
      </c>
      <c r="B2942" t="str">
        <f>"90314100      "</f>
        <v xml:space="preserve">90314100      </v>
      </c>
      <c r="C2942" t="s">
        <v>9083</v>
      </c>
      <c r="D2942" t="s">
        <v>9084</v>
      </c>
      <c r="E2942" t="s">
        <v>9085</v>
      </c>
      <c r="F2942" t="s">
        <v>9086</v>
      </c>
    </row>
    <row r="2943" spans="1:6" x14ac:dyDescent="0.25">
      <c r="A2943" t="s">
        <v>1677</v>
      </c>
      <c r="B2943" t="str">
        <f>"94011000      "</f>
        <v xml:space="preserve">94011000      </v>
      </c>
      <c r="C2943" t="s">
        <v>9087</v>
      </c>
      <c r="D2943" t="s">
        <v>9087</v>
      </c>
      <c r="E2943" t="s">
        <v>9088</v>
      </c>
      <c r="F2943" t="s">
        <v>9089</v>
      </c>
    </row>
    <row r="2944" spans="1:6" x14ac:dyDescent="0.25">
      <c r="A2944" t="s">
        <v>1677</v>
      </c>
      <c r="B2944" t="str">
        <f>"94012000      "</f>
        <v xml:space="preserve">94012000      </v>
      </c>
      <c r="C2944" t="s">
        <v>9090</v>
      </c>
      <c r="D2944" t="s">
        <v>9090</v>
      </c>
      <c r="E2944" t="s">
        <v>9091</v>
      </c>
      <c r="F2944" t="s">
        <v>9092</v>
      </c>
    </row>
    <row r="2945" spans="1:6" x14ac:dyDescent="0.25">
      <c r="A2945" t="s">
        <v>1677</v>
      </c>
      <c r="B2945" t="str">
        <f>"94015200      "</f>
        <v xml:space="preserve">94015200      </v>
      </c>
      <c r="C2945" t="s">
        <v>9093</v>
      </c>
      <c r="D2945" t="s">
        <v>9093</v>
      </c>
      <c r="E2945" t="s">
        <v>9094</v>
      </c>
      <c r="F2945" t="s">
        <v>9095</v>
      </c>
    </row>
    <row r="2946" spans="1:6" x14ac:dyDescent="0.25">
      <c r="A2946" t="s">
        <v>1677</v>
      </c>
      <c r="B2946" t="str">
        <f>"94015300      "</f>
        <v xml:space="preserve">94015300      </v>
      </c>
      <c r="C2946" t="s">
        <v>9096</v>
      </c>
      <c r="D2946" t="s">
        <v>9096</v>
      </c>
      <c r="E2946" t="s">
        <v>9097</v>
      </c>
      <c r="F2946" t="s">
        <v>9098</v>
      </c>
    </row>
    <row r="2947" spans="1:6" x14ac:dyDescent="0.25">
      <c r="A2947" t="s">
        <v>1677</v>
      </c>
      <c r="B2947" t="str">
        <f>"94015900      "</f>
        <v xml:space="preserve">94015900      </v>
      </c>
      <c r="C2947" t="s">
        <v>6775</v>
      </c>
      <c r="D2947" t="s">
        <v>6775</v>
      </c>
      <c r="E2947" t="s">
        <v>9099</v>
      </c>
      <c r="F2947" t="s">
        <v>9100</v>
      </c>
    </row>
    <row r="2948" spans="1:6" x14ac:dyDescent="0.25">
      <c r="A2948" t="s">
        <v>1677</v>
      </c>
      <c r="B2948" t="str">
        <f>"94016100      "</f>
        <v xml:space="preserve">94016100      </v>
      </c>
      <c r="C2948" t="s">
        <v>9101</v>
      </c>
      <c r="D2948" t="s">
        <v>9101</v>
      </c>
      <c r="E2948" t="s">
        <v>9102</v>
      </c>
      <c r="F2948" t="s">
        <v>9103</v>
      </c>
    </row>
    <row r="2949" spans="1:6" x14ac:dyDescent="0.25">
      <c r="A2949" t="s">
        <v>1677</v>
      </c>
      <c r="B2949" t="str">
        <f>"94016900      "</f>
        <v xml:space="preserve">94016900      </v>
      </c>
      <c r="C2949" t="s">
        <v>6775</v>
      </c>
      <c r="D2949" t="s">
        <v>6775</v>
      </c>
      <c r="E2949" t="s">
        <v>9104</v>
      </c>
      <c r="F2949" t="s">
        <v>9105</v>
      </c>
    </row>
    <row r="2950" spans="1:6" x14ac:dyDescent="0.25">
      <c r="A2950" t="s">
        <v>1677</v>
      </c>
      <c r="B2950" t="str">
        <f>"94017100      "</f>
        <v xml:space="preserve">94017100      </v>
      </c>
      <c r="C2950" t="s">
        <v>9101</v>
      </c>
      <c r="D2950" t="s">
        <v>9101</v>
      </c>
      <c r="E2950" t="s">
        <v>9106</v>
      </c>
      <c r="F2950" t="s">
        <v>9107</v>
      </c>
    </row>
    <row r="2951" spans="1:6" x14ac:dyDescent="0.25">
      <c r="A2951" t="s">
        <v>1677</v>
      </c>
      <c r="B2951" t="str">
        <f>"94017900      "</f>
        <v xml:space="preserve">94017900      </v>
      </c>
      <c r="C2951" t="s">
        <v>6775</v>
      </c>
      <c r="D2951" t="s">
        <v>6775</v>
      </c>
      <c r="E2951" t="s">
        <v>9108</v>
      </c>
      <c r="F2951" t="s">
        <v>9109</v>
      </c>
    </row>
    <row r="2952" spans="1:6" x14ac:dyDescent="0.25">
      <c r="A2952" t="s">
        <v>1677</v>
      </c>
      <c r="B2952" t="str">
        <f>"94018000      "</f>
        <v xml:space="preserve">94018000      </v>
      </c>
      <c r="C2952" t="s">
        <v>9110</v>
      </c>
      <c r="D2952" t="s">
        <v>9110</v>
      </c>
      <c r="E2952" t="s">
        <v>9111</v>
      </c>
      <c r="F2952" t="s">
        <v>9112</v>
      </c>
    </row>
    <row r="2953" spans="1:6" x14ac:dyDescent="0.25">
      <c r="A2953" t="s">
        <v>1677</v>
      </c>
      <c r="B2953" t="str">
        <f>"94021000      "</f>
        <v xml:space="preserve">94021000      </v>
      </c>
      <c r="C2953" t="s">
        <v>9113</v>
      </c>
      <c r="D2953" t="s">
        <v>9113</v>
      </c>
      <c r="E2953" t="s">
        <v>9114</v>
      </c>
      <c r="F2953" t="s">
        <v>9115</v>
      </c>
    </row>
    <row r="2954" spans="1:6" x14ac:dyDescent="0.25">
      <c r="A2954" t="s">
        <v>1677</v>
      </c>
      <c r="B2954" t="str">
        <f>"94029000      "</f>
        <v xml:space="preserve">94029000      </v>
      </c>
      <c r="C2954" t="s">
        <v>6775</v>
      </c>
      <c r="D2954" t="s">
        <v>6775</v>
      </c>
      <c r="E2954" t="s">
        <v>9116</v>
      </c>
      <c r="F2954" t="s">
        <v>9117</v>
      </c>
    </row>
    <row r="2955" spans="1:6" x14ac:dyDescent="0.25">
      <c r="A2955" t="s">
        <v>1677</v>
      </c>
      <c r="B2955" t="str">
        <f>"94031051      "</f>
        <v xml:space="preserve">94031051      </v>
      </c>
      <c r="C2955" t="s">
        <v>9118</v>
      </c>
      <c r="D2955" t="s">
        <v>9118</v>
      </c>
      <c r="E2955" t="s">
        <v>9119</v>
      </c>
      <c r="F2955" t="s">
        <v>9120</v>
      </c>
    </row>
    <row r="2956" spans="1:6" x14ac:dyDescent="0.25">
      <c r="A2956" t="s">
        <v>1677</v>
      </c>
      <c r="B2956" t="str">
        <f>"94031058      "</f>
        <v xml:space="preserve">94031058      </v>
      </c>
      <c r="C2956" t="s">
        <v>6775</v>
      </c>
      <c r="D2956" t="s">
        <v>6775</v>
      </c>
      <c r="E2956" t="s">
        <v>9121</v>
      </c>
      <c r="F2956" t="s">
        <v>9122</v>
      </c>
    </row>
    <row r="2957" spans="1:6" x14ac:dyDescent="0.25">
      <c r="A2957" t="s">
        <v>1677</v>
      </c>
      <c r="B2957" t="str">
        <f>"94031091      "</f>
        <v xml:space="preserve">94031091      </v>
      </c>
      <c r="C2957" t="s">
        <v>9123</v>
      </c>
      <c r="D2957" t="s">
        <v>9123</v>
      </c>
      <c r="E2957" t="s">
        <v>9124</v>
      </c>
      <c r="F2957" t="s">
        <v>9125</v>
      </c>
    </row>
    <row r="2958" spans="1:6" x14ac:dyDescent="0.25">
      <c r="A2958" t="s">
        <v>1677</v>
      </c>
      <c r="B2958" t="str">
        <f>"94031093      "</f>
        <v xml:space="preserve">94031093      </v>
      </c>
      <c r="C2958" t="s">
        <v>9126</v>
      </c>
      <c r="D2958" t="s">
        <v>9126</v>
      </c>
      <c r="E2958" t="s">
        <v>9127</v>
      </c>
      <c r="F2958" t="s">
        <v>9128</v>
      </c>
    </row>
    <row r="2959" spans="1:6" x14ac:dyDescent="0.25">
      <c r="A2959" t="s">
        <v>1677</v>
      </c>
      <c r="B2959" t="str">
        <f>"94031098      "</f>
        <v xml:space="preserve">94031098      </v>
      </c>
      <c r="C2959" t="s">
        <v>6775</v>
      </c>
      <c r="D2959" t="s">
        <v>6775</v>
      </c>
      <c r="E2959" t="s">
        <v>9129</v>
      </c>
      <c r="F2959" t="s">
        <v>9130</v>
      </c>
    </row>
    <row r="2960" spans="1:6" x14ac:dyDescent="0.25">
      <c r="A2960" t="s">
        <v>1677</v>
      </c>
      <c r="B2960" t="str">
        <f>"94032020      "</f>
        <v xml:space="preserve">94032020      </v>
      </c>
      <c r="C2960" t="s">
        <v>9131</v>
      </c>
      <c r="D2960" t="s">
        <v>9131</v>
      </c>
      <c r="E2960" t="s">
        <v>9132</v>
      </c>
      <c r="F2960" t="s">
        <v>9133</v>
      </c>
    </row>
    <row r="2961" spans="1:6" x14ac:dyDescent="0.25">
      <c r="A2961" t="s">
        <v>1677</v>
      </c>
      <c r="B2961" t="str">
        <f>"94032080      "</f>
        <v xml:space="preserve">94032080      </v>
      </c>
      <c r="C2961" t="s">
        <v>6775</v>
      </c>
      <c r="D2961" t="s">
        <v>6775</v>
      </c>
      <c r="E2961" t="s">
        <v>9134</v>
      </c>
      <c r="F2961" t="s">
        <v>9135</v>
      </c>
    </row>
    <row r="2962" spans="1:6" x14ac:dyDescent="0.25">
      <c r="A2962" t="s">
        <v>1677</v>
      </c>
      <c r="B2962" t="str">
        <f>"94033011      "</f>
        <v xml:space="preserve">94033011      </v>
      </c>
      <c r="C2962" t="s">
        <v>9118</v>
      </c>
      <c r="D2962" t="s">
        <v>9118</v>
      </c>
      <c r="E2962" t="s">
        <v>9136</v>
      </c>
      <c r="F2962" t="s">
        <v>9137</v>
      </c>
    </row>
    <row r="2963" spans="1:6" x14ac:dyDescent="0.25">
      <c r="A2963" t="s">
        <v>1677</v>
      </c>
      <c r="B2963" t="str">
        <f>"94033019      "</f>
        <v xml:space="preserve">94033019      </v>
      </c>
      <c r="C2963" t="s">
        <v>6775</v>
      </c>
      <c r="D2963" t="s">
        <v>6775</v>
      </c>
      <c r="E2963" t="s">
        <v>9138</v>
      </c>
      <c r="F2963" t="s">
        <v>9139</v>
      </c>
    </row>
    <row r="2964" spans="1:6" x14ac:dyDescent="0.25">
      <c r="A2964" t="s">
        <v>1677</v>
      </c>
      <c r="B2964" t="str">
        <f>"94033091      "</f>
        <v xml:space="preserve">94033091      </v>
      </c>
      <c r="C2964" t="s">
        <v>9140</v>
      </c>
      <c r="D2964" t="s">
        <v>9140</v>
      </c>
      <c r="E2964" t="s">
        <v>9141</v>
      </c>
      <c r="F2964" t="s">
        <v>9142</v>
      </c>
    </row>
    <row r="2965" spans="1:6" x14ac:dyDescent="0.25">
      <c r="A2965" t="s">
        <v>1677</v>
      </c>
      <c r="B2965" t="str">
        <f>"94033099      "</f>
        <v xml:space="preserve">94033099      </v>
      </c>
      <c r="C2965" t="s">
        <v>6775</v>
      </c>
      <c r="D2965" t="s">
        <v>6775</v>
      </c>
      <c r="E2965" t="s">
        <v>9143</v>
      </c>
      <c r="F2965" t="s">
        <v>9144</v>
      </c>
    </row>
    <row r="2966" spans="1:6" x14ac:dyDescent="0.25">
      <c r="A2966" t="s">
        <v>1677</v>
      </c>
      <c r="B2966" t="str">
        <f>"94034010      "</f>
        <v xml:space="preserve">94034010      </v>
      </c>
      <c r="C2966" t="s">
        <v>9145</v>
      </c>
      <c r="D2966" t="s">
        <v>9145</v>
      </c>
      <c r="E2966" t="s">
        <v>9146</v>
      </c>
      <c r="F2966" t="s">
        <v>9147</v>
      </c>
    </row>
    <row r="2967" spans="1:6" x14ac:dyDescent="0.25">
      <c r="A2967" t="s">
        <v>1677</v>
      </c>
      <c r="B2967" t="str">
        <f>"94034090      "</f>
        <v xml:space="preserve">94034090      </v>
      </c>
      <c r="C2967" t="s">
        <v>6775</v>
      </c>
      <c r="D2967" t="s">
        <v>6775</v>
      </c>
      <c r="E2967" t="s">
        <v>9148</v>
      </c>
      <c r="F2967" t="s">
        <v>9149</v>
      </c>
    </row>
    <row r="2968" spans="1:6" x14ac:dyDescent="0.25">
      <c r="A2968" t="s">
        <v>1677</v>
      </c>
      <c r="B2968" t="str">
        <f>"94035000      "</f>
        <v xml:space="preserve">94035000      </v>
      </c>
      <c r="C2968" t="s">
        <v>9150</v>
      </c>
      <c r="D2968" t="s">
        <v>9150</v>
      </c>
      <c r="E2968" t="s">
        <v>9151</v>
      </c>
      <c r="F2968" t="s">
        <v>9152</v>
      </c>
    </row>
    <row r="2969" spans="1:6" x14ac:dyDescent="0.25">
      <c r="A2969" t="s">
        <v>1677</v>
      </c>
      <c r="B2969" t="str">
        <f>"94036010      "</f>
        <v xml:space="preserve">94036010      </v>
      </c>
      <c r="C2969" t="s">
        <v>9153</v>
      </c>
      <c r="D2969" t="s">
        <v>9153</v>
      </c>
      <c r="E2969" t="s">
        <v>9154</v>
      </c>
      <c r="F2969" t="s">
        <v>9155</v>
      </c>
    </row>
    <row r="2970" spans="1:6" x14ac:dyDescent="0.25">
      <c r="A2970" t="s">
        <v>1677</v>
      </c>
      <c r="B2970" t="str">
        <f>"94036030      "</f>
        <v xml:space="preserve">94036030      </v>
      </c>
      <c r="C2970" t="s">
        <v>9156</v>
      </c>
      <c r="D2970" t="s">
        <v>9156</v>
      </c>
      <c r="E2970" t="s">
        <v>9157</v>
      </c>
      <c r="F2970" t="s">
        <v>9158</v>
      </c>
    </row>
    <row r="2971" spans="1:6" x14ac:dyDescent="0.25">
      <c r="A2971" t="s">
        <v>1677</v>
      </c>
      <c r="B2971" t="str">
        <f>"94036090      "</f>
        <v xml:space="preserve">94036090      </v>
      </c>
      <c r="C2971" t="s">
        <v>9159</v>
      </c>
      <c r="D2971" t="s">
        <v>9159</v>
      </c>
      <c r="E2971" t="s">
        <v>9160</v>
      </c>
      <c r="F2971" t="s">
        <v>9161</v>
      </c>
    </row>
    <row r="2972" spans="1:6" x14ac:dyDescent="0.25">
      <c r="A2972" t="s">
        <v>1677</v>
      </c>
      <c r="B2972" t="str">
        <f>"94037000      "</f>
        <v xml:space="preserve">94037000      </v>
      </c>
      <c r="C2972" t="s">
        <v>9162</v>
      </c>
      <c r="D2972" t="s">
        <v>9162</v>
      </c>
      <c r="E2972" t="s">
        <v>9163</v>
      </c>
      <c r="F2972" t="s">
        <v>9164</v>
      </c>
    </row>
    <row r="2973" spans="1:6" x14ac:dyDescent="0.25">
      <c r="A2973" t="s">
        <v>1677</v>
      </c>
      <c r="B2973" t="str">
        <f>"94038200      "</f>
        <v xml:space="preserve">94038200      </v>
      </c>
      <c r="C2973" t="s">
        <v>9093</v>
      </c>
      <c r="D2973" t="s">
        <v>9093</v>
      </c>
      <c r="E2973" t="s">
        <v>9165</v>
      </c>
      <c r="F2973" t="s">
        <v>9166</v>
      </c>
    </row>
    <row r="2974" spans="1:6" x14ac:dyDescent="0.25">
      <c r="A2974" t="s">
        <v>1677</v>
      </c>
      <c r="B2974" t="str">
        <f>"94038300      "</f>
        <v xml:space="preserve">94038300      </v>
      </c>
      <c r="C2974" t="s">
        <v>9096</v>
      </c>
      <c r="D2974" t="s">
        <v>9096</v>
      </c>
      <c r="E2974" t="s">
        <v>9167</v>
      </c>
      <c r="F2974" t="s">
        <v>9168</v>
      </c>
    </row>
    <row r="2975" spans="1:6" x14ac:dyDescent="0.25">
      <c r="A2975" t="s">
        <v>1677</v>
      </c>
      <c r="B2975" t="str">
        <f>"94038900      "</f>
        <v xml:space="preserve">94038900      </v>
      </c>
      <c r="C2975" t="s">
        <v>6775</v>
      </c>
      <c r="D2975" t="s">
        <v>6775</v>
      </c>
      <c r="E2975" t="s">
        <v>9169</v>
      </c>
      <c r="F2975" t="s">
        <v>9170</v>
      </c>
    </row>
    <row r="2976" spans="1:6" x14ac:dyDescent="0.25">
      <c r="A2976" t="s">
        <v>1677</v>
      </c>
      <c r="B2976" t="str">
        <f>"94041000      "</f>
        <v xml:space="preserve">94041000      </v>
      </c>
      <c r="C2976" t="s">
        <v>9171</v>
      </c>
      <c r="D2976" t="s">
        <v>9171</v>
      </c>
      <c r="E2976" t="s">
        <v>9172</v>
      </c>
      <c r="F2976" t="s">
        <v>9173</v>
      </c>
    </row>
    <row r="2977" spans="1:6" x14ac:dyDescent="0.25">
      <c r="A2977" t="s">
        <v>1677</v>
      </c>
      <c r="B2977" t="str">
        <f>"94042110      "</f>
        <v xml:space="preserve">94042110      </v>
      </c>
      <c r="C2977" t="s">
        <v>9174</v>
      </c>
      <c r="D2977" t="s">
        <v>9174</v>
      </c>
      <c r="E2977" t="s">
        <v>9175</v>
      </c>
      <c r="F2977" t="s">
        <v>9176</v>
      </c>
    </row>
    <row r="2978" spans="1:6" x14ac:dyDescent="0.25">
      <c r="A2978" t="s">
        <v>1677</v>
      </c>
      <c r="B2978" t="str">
        <f>"94042190      "</f>
        <v xml:space="preserve">94042190      </v>
      </c>
      <c r="C2978" t="s">
        <v>9177</v>
      </c>
      <c r="D2978" t="s">
        <v>9177</v>
      </c>
      <c r="E2978" t="s">
        <v>9178</v>
      </c>
      <c r="F2978" t="s">
        <v>9179</v>
      </c>
    </row>
    <row r="2979" spans="1:6" x14ac:dyDescent="0.25">
      <c r="A2979" t="s">
        <v>1677</v>
      </c>
      <c r="B2979" t="str">
        <f>"94042910      "</f>
        <v xml:space="preserve">94042910      </v>
      </c>
      <c r="C2979" t="s">
        <v>9180</v>
      </c>
      <c r="D2979" t="s">
        <v>9180</v>
      </c>
      <c r="E2979" t="s">
        <v>9181</v>
      </c>
      <c r="F2979" t="s">
        <v>9182</v>
      </c>
    </row>
    <row r="2980" spans="1:6" x14ac:dyDescent="0.25">
      <c r="A2980" t="s">
        <v>1677</v>
      </c>
      <c r="B2980" t="str">
        <f>"94042990      "</f>
        <v xml:space="preserve">94042990      </v>
      </c>
      <c r="C2980" t="s">
        <v>6775</v>
      </c>
      <c r="D2980" t="s">
        <v>6775</v>
      </c>
      <c r="E2980" t="s">
        <v>9183</v>
      </c>
      <c r="F2980" t="s">
        <v>9184</v>
      </c>
    </row>
    <row r="2981" spans="1:6" x14ac:dyDescent="0.25">
      <c r="A2981" t="s">
        <v>1677</v>
      </c>
      <c r="B2981" t="str">
        <f>"94043000      "</f>
        <v xml:space="preserve">94043000      </v>
      </c>
      <c r="C2981" t="s">
        <v>9185</v>
      </c>
      <c r="D2981" t="s">
        <v>9185</v>
      </c>
      <c r="E2981" t="s">
        <v>9186</v>
      </c>
      <c r="F2981" t="s">
        <v>9187</v>
      </c>
    </row>
    <row r="2982" spans="1:6" x14ac:dyDescent="0.25">
      <c r="A2982" t="s">
        <v>1677</v>
      </c>
      <c r="B2982" t="str">
        <f>"94049010      "</f>
        <v xml:space="preserve">94049010      </v>
      </c>
      <c r="C2982" t="s">
        <v>9188</v>
      </c>
      <c r="D2982" t="s">
        <v>9188</v>
      </c>
      <c r="E2982" t="s">
        <v>9189</v>
      </c>
      <c r="F2982" t="s">
        <v>9190</v>
      </c>
    </row>
    <row r="2983" spans="1:6" x14ac:dyDescent="0.25">
      <c r="A2983" t="s">
        <v>1677</v>
      </c>
      <c r="B2983" t="str">
        <f>"94049090      "</f>
        <v xml:space="preserve">94049090      </v>
      </c>
      <c r="C2983" t="s">
        <v>6775</v>
      </c>
      <c r="D2983" t="s">
        <v>6775</v>
      </c>
      <c r="E2983" t="s">
        <v>9191</v>
      </c>
      <c r="F2983" t="s">
        <v>9192</v>
      </c>
    </row>
    <row r="2984" spans="1:6" x14ac:dyDescent="0.25">
      <c r="A2984" t="s">
        <v>1677</v>
      </c>
      <c r="B2984" t="str">
        <f>"94055000      "</f>
        <v xml:space="preserve">94055000      </v>
      </c>
      <c r="C2984" t="s">
        <v>9193</v>
      </c>
      <c r="D2984" t="s">
        <v>9194</v>
      </c>
      <c r="E2984" t="s">
        <v>9195</v>
      </c>
      <c r="F2984" t="s">
        <v>9196</v>
      </c>
    </row>
    <row r="2985" spans="1:6" x14ac:dyDescent="0.25">
      <c r="A2985" t="s">
        <v>1677</v>
      </c>
      <c r="B2985" t="str">
        <f>"94059110      "</f>
        <v xml:space="preserve">94059110      </v>
      </c>
      <c r="C2985" t="s">
        <v>9197</v>
      </c>
      <c r="D2985" t="s">
        <v>9197</v>
      </c>
      <c r="E2985" t="s">
        <v>9198</v>
      </c>
      <c r="F2985" t="s">
        <v>9199</v>
      </c>
    </row>
    <row r="2986" spans="1:6" x14ac:dyDescent="0.25">
      <c r="A2986" t="s">
        <v>1677</v>
      </c>
      <c r="B2986" t="str">
        <f>"94059190      "</f>
        <v xml:space="preserve">94059190      </v>
      </c>
      <c r="C2986" t="s">
        <v>6775</v>
      </c>
      <c r="D2986" t="s">
        <v>6775</v>
      </c>
      <c r="E2986" t="s">
        <v>9200</v>
      </c>
      <c r="F2986" t="s">
        <v>9201</v>
      </c>
    </row>
    <row r="2987" spans="1:6" x14ac:dyDescent="0.25">
      <c r="A2987" t="s">
        <v>1677</v>
      </c>
      <c r="B2987" t="str">
        <f>"94059200      "</f>
        <v xml:space="preserve">94059200      </v>
      </c>
      <c r="C2987" t="s">
        <v>9202</v>
      </c>
      <c r="D2987" t="s">
        <v>9202</v>
      </c>
      <c r="E2987" t="s">
        <v>9203</v>
      </c>
      <c r="F2987" t="s">
        <v>9204</v>
      </c>
    </row>
    <row r="2988" spans="1:6" x14ac:dyDescent="0.25">
      <c r="A2988" t="s">
        <v>1677</v>
      </c>
      <c r="B2988" t="str">
        <f>"94059900      "</f>
        <v xml:space="preserve">94059900      </v>
      </c>
      <c r="C2988" t="s">
        <v>9205</v>
      </c>
      <c r="D2988" t="s">
        <v>9205</v>
      </c>
      <c r="E2988" t="s">
        <v>9206</v>
      </c>
      <c r="F2988" t="s">
        <v>9207</v>
      </c>
    </row>
    <row r="2989" spans="1:6" x14ac:dyDescent="0.25">
      <c r="A2989" t="s">
        <v>1677</v>
      </c>
      <c r="B2989" t="str">
        <f>"94061000      "</f>
        <v xml:space="preserve">94061000      </v>
      </c>
      <c r="C2989" t="s">
        <v>9208</v>
      </c>
      <c r="D2989" t="s">
        <v>9208</v>
      </c>
      <c r="E2989" t="s">
        <v>9209</v>
      </c>
      <c r="F2989" t="s">
        <v>9210</v>
      </c>
    </row>
    <row r="2990" spans="1:6" x14ac:dyDescent="0.25">
      <c r="A2990" t="s">
        <v>1677</v>
      </c>
      <c r="B2990" t="str">
        <f>"94069010      "</f>
        <v xml:space="preserve">94069010      </v>
      </c>
      <c r="C2990" t="s">
        <v>9211</v>
      </c>
      <c r="D2990" t="s">
        <v>9211</v>
      </c>
      <c r="E2990" t="s">
        <v>9212</v>
      </c>
      <c r="F2990" t="s">
        <v>9213</v>
      </c>
    </row>
    <row r="2991" spans="1:6" x14ac:dyDescent="0.25">
      <c r="A2991" t="s">
        <v>1677</v>
      </c>
      <c r="B2991" t="str">
        <f>"94069031      "</f>
        <v xml:space="preserve">94069031      </v>
      </c>
      <c r="C2991" t="s">
        <v>9214</v>
      </c>
      <c r="D2991" t="s">
        <v>9214</v>
      </c>
      <c r="E2991" t="s">
        <v>9215</v>
      </c>
      <c r="F2991" t="s">
        <v>9216</v>
      </c>
    </row>
    <row r="2992" spans="1:6" x14ac:dyDescent="0.25">
      <c r="A2992" t="s">
        <v>1677</v>
      </c>
      <c r="B2992" t="str">
        <f>"94069038      "</f>
        <v xml:space="preserve">94069038      </v>
      </c>
      <c r="C2992" t="s">
        <v>6775</v>
      </c>
      <c r="D2992" t="s">
        <v>6775</v>
      </c>
      <c r="E2992" t="s">
        <v>9217</v>
      </c>
      <c r="F2992" t="s">
        <v>9218</v>
      </c>
    </row>
    <row r="2993" spans="1:6" x14ac:dyDescent="0.25">
      <c r="A2993" t="s">
        <v>1677</v>
      </c>
      <c r="B2993" t="str">
        <f>"94069090      "</f>
        <v xml:space="preserve">94069090      </v>
      </c>
      <c r="C2993" t="s">
        <v>9205</v>
      </c>
      <c r="D2993" t="s">
        <v>9205</v>
      </c>
      <c r="E2993" t="s">
        <v>9219</v>
      </c>
      <c r="F2993" t="s">
        <v>9220</v>
      </c>
    </row>
    <row r="2994" spans="1:6" x14ac:dyDescent="0.25">
      <c r="A2994" t="s">
        <v>1677</v>
      </c>
      <c r="B2994" t="str">
        <f>"95030041      "</f>
        <v xml:space="preserve">95030041      </v>
      </c>
      <c r="C2994" t="s">
        <v>9221</v>
      </c>
      <c r="D2994" t="s">
        <v>9222</v>
      </c>
      <c r="E2994" t="s">
        <v>9223</v>
      </c>
      <c r="F2994" t="s">
        <v>9224</v>
      </c>
    </row>
    <row r="2995" spans="1:6" x14ac:dyDescent="0.25">
      <c r="A2995" t="s">
        <v>1677</v>
      </c>
      <c r="B2995" t="str">
        <f>"95042000      "</f>
        <v xml:space="preserve">95042000      </v>
      </c>
      <c r="C2995" t="s">
        <v>9225</v>
      </c>
      <c r="D2995" t="s">
        <v>9225</v>
      </c>
      <c r="E2995" t="s">
        <v>9226</v>
      </c>
      <c r="F2995" t="s">
        <v>9227</v>
      </c>
    </row>
    <row r="2996" spans="1:6" x14ac:dyDescent="0.25">
      <c r="A2996" t="s">
        <v>1677</v>
      </c>
      <c r="B2996" t="str">
        <f>"95043010      "</f>
        <v xml:space="preserve">95043010      </v>
      </c>
      <c r="C2996" t="s">
        <v>9228</v>
      </c>
      <c r="D2996" t="s">
        <v>9228</v>
      </c>
      <c r="E2996" t="s">
        <v>9229</v>
      </c>
      <c r="F2996" t="s">
        <v>9230</v>
      </c>
    </row>
    <row r="2997" spans="1:6" x14ac:dyDescent="0.25">
      <c r="A2997" t="s">
        <v>1677</v>
      </c>
      <c r="B2997" t="str">
        <f>"95043020      "</f>
        <v xml:space="preserve">95043020      </v>
      </c>
      <c r="C2997" t="s">
        <v>9231</v>
      </c>
      <c r="D2997" t="s">
        <v>9231</v>
      </c>
      <c r="E2997" t="s">
        <v>9232</v>
      </c>
      <c r="F2997" t="s">
        <v>9233</v>
      </c>
    </row>
    <row r="2998" spans="1:6" x14ac:dyDescent="0.25">
      <c r="A2998" t="s">
        <v>1677</v>
      </c>
      <c r="B2998" t="str">
        <f>"95043090      "</f>
        <v xml:space="preserve">95043090      </v>
      </c>
      <c r="C2998" t="s">
        <v>8657</v>
      </c>
      <c r="D2998" t="s">
        <v>8657</v>
      </c>
      <c r="E2998" t="s">
        <v>9234</v>
      </c>
      <c r="F2998" t="s">
        <v>9235</v>
      </c>
    </row>
    <row r="2999" spans="1:6" x14ac:dyDescent="0.25">
      <c r="A2999" t="s">
        <v>1677</v>
      </c>
      <c r="B2999" t="str">
        <f>"95044000      "</f>
        <v xml:space="preserve">95044000      </v>
      </c>
      <c r="C2999" t="s">
        <v>9236</v>
      </c>
      <c r="D2999" t="s">
        <v>9236</v>
      </c>
      <c r="E2999" t="s">
        <v>9237</v>
      </c>
      <c r="F2999" t="s">
        <v>9238</v>
      </c>
    </row>
    <row r="3000" spans="1:6" x14ac:dyDescent="0.25">
      <c r="A3000" t="s">
        <v>1677</v>
      </c>
      <c r="B3000" t="str">
        <f>"95045000      "</f>
        <v xml:space="preserve">95045000      </v>
      </c>
      <c r="C3000" t="s">
        <v>9239</v>
      </c>
      <c r="D3000" t="s">
        <v>9239</v>
      </c>
      <c r="E3000" t="s">
        <v>9240</v>
      </c>
      <c r="F3000" t="s">
        <v>9241</v>
      </c>
    </row>
    <row r="3001" spans="1:6" x14ac:dyDescent="0.25">
      <c r="A3001" t="s">
        <v>1677</v>
      </c>
      <c r="B3001" t="str">
        <f>"95049010      "</f>
        <v xml:space="preserve">95049010      </v>
      </c>
      <c r="C3001" t="s">
        <v>9242</v>
      </c>
      <c r="D3001" t="s">
        <v>9242</v>
      </c>
      <c r="E3001" t="s">
        <v>9243</v>
      </c>
      <c r="F3001" t="s">
        <v>9244</v>
      </c>
    </row>
    <row r="3002" spans="1:6" x14ac:dyDescent="0.25">
      <c r="A3002" t="s">
        <v>1677</v>
      </c>
      <c r="B3002" t="str">
        <f>"95049080      "</f>
        <v xml:space="preserve">95049080      </v>
      </c>
      <c r="C3002" t="s">
        <v>6775</v>
      </c>
      <c r="D3002" t="s">
        <v>6775</v>
      </c>
      <c r="E3002" t="s">
        <v>9245</v>
      </c>
      <c r="F3002" t="s">
        <v>9246</v>
      </c>
    </row>
    <row r="3003" spans="1:6" x14ac:dyDescent="0.25">
      <c r="A3003" t="s">
        <v>1677</v>
      </c>
      <c r="B3003" t="str">
        <f>"95081000      "</f>
        <v xml:space="preserve">95081000      </v>
      </c>
      <c r="C3003" t="s">
        <v>9247</v>
      </c>
      <c r="D3003" t="s">
        <v>9247</v>
      </c>
      <c r="E3003" t="s">
        <v>9248</v>
      </c>
      <c r="F3003" t="s">
        <v>9249</v>
      </c>
    </row>
    <row r="3004" spans="1:6" x14ac:dyDescent="0.25">
      <c r="A3004" t="s">
        <v>1677</v>
      </c>
      <c r="B3004" t="str">
        <f>"96091010      "</f>
        <v xml:space="preserve">96091010      </v>
      </c>
      <c r="C3004" t="s">
        <v>9250</v>
      </c>
      <c r="D3004" t="s">
        <v>9250</v>
      </c>
      <c r="E3004" t="s">
        <v>9251</v>
      </c>
      <c r="F3004" t="s">
        <v>9252</v>
      </c>
    </row>
    <row r="3005" spans="1:6" x14ac:dyDescent="0.25">
      <c r="A3005" t="s">
        <v>1677</v>
      </c>
      <c r="B3005" t="str">
        <f>"96091090      "</f>
        <v xml:space="preserve">96091090      </v>
      </c>
      <c r="C3005" t="s">
        <v>6775</v>
      </c>
      <c r="D3005" t="s">
        <v>6775</v>
      </c>
      <c r="E3005" t="s">
        <v>9253</v>
      </c>
      <c r="F3005" t="s">
        <v>9254</v>
      </c>
    </row>
    <row r="3006" spans="1:6" x14ac:dyDescent="0.25">
      <c r="A3006" t="s">
        <v>1677</v>
      </c>
      <c r="B3006" t="str">
        <f>"96140010      "</f>
        <v xml:space="preserve">96140010      </v>
      </c>
      <c r="C3006" t="s">
        <v>9255</v>
      </c>
      <c r="D3006" t="s">
        <v>9255</v>
      </c>
      <c r="E3006" t="s">
        <v>9256</v>
      </c>
      <c r="F3006" t="s">
        <v>9257</v>
      </c>
    </row>
    <row r="3007" spans="1:6" x14ac:dyDescent="0.25">
      <c r="A3007" t="s">
        <v>1677</v>
      </c>
      <c r="B3007" t="str">
        <f>"96140090      "</f>
        <v xml:space="preserve">96140090      </v>
      </c>
      <c r="C3007" t="s">
        <v>6775</v>
      </c>
      <c r="D3007" t="s">
        <v>6775</v>
      </c>
      <c r="E3007" t="s">
        <v>9258</v>
      </c>
      <c r="F3007" t="s">
        <v>9259</v>
      </c>
    </row>
    <row r="3008" spans="1:6" x14ac:dyDescent="0.25">
      <c r="A3008" t="s">
        <v>1677</v>
      </c>
      <c r="B3008" t="str">
        <f>"96190030      "</f>
        <v xml:space="preserve">96190030      </v>
      </c>
      <c r="C3008" t="s">
        <v>9260</v>
      </c>
      <c r="D3008" t="s">
        <v>9260</v>
      </c>
      <c r="E3008" t="s">
        <v>9261</v>
      </c>
      <c r="F3008" t="s">
        <v>9262</v>
      </c>
    </row>
    <row r="3009" spans="1:6" x14ac:dyDescent="0.25">
      <c r="A3009" t="s">
        <v>1677</v>
      </c>
      <c r="B3009" t="str">
        <f>"96190040      "</f>
        <v xml:space="preserve">96190040      </v>
      </c>
      <c r="C3009" t="s">
        <v>9263</v>
      </c>
      <c r="D3009" t="s">
        <v>9263</v>
      </c>
      <c r="E3009" t="s">
        <v>9264</v>
      </c>
      <c r="F3009" t="s">
        <v>9265</v>
      </c>
    </row>
    <row r="3010" spans="1:6" x14ac:dyDescent="0.25">
      <c r="A3010" t="s">
        <v>1677</v>
      </c>
      <c r="B3010" t="str">
        <f>"96190050      "</f>
        <v xml:space="preserve">96190050      </v>
      </c>
      <c r="C3010" t="s">
        <v>9266</v>
      </c>
      <c r="D3010" t="s">
        <v>9266</v>
      </c>
      <c r="E3010" t="s">
        <v>9267</v>
      </c>
      <c r="F3010" t="s">
        <v>9268</v>
      </c>
    </row>
    <row r="3011" spans="1:6" x14ac:dyDescent="0.25">
      <c r="A3011" t="s">
        <v>1677</v>
      </c>
      <c r="B3011" t="str">
        <f>"96190071      "</f>
        <v xml:space="preserve">96190071      </v>
      </c>
      <c r="C3011" t="s">
        <v>9269</v>
      </c>
      <c r="D3011" t="s">
        <v>9269</v>
      </c>
      <c r="E3011" t="s">
        <v>9270</v>
      </c>
      <c r="F3011" t="s">
        <v>9271</v>
      </c>
    </row>
    <row r="3012" spans="1:6" x14ac:dyDescent="0.25">
      <c r="A3012" t="s">
        <v>1677</v>
      </c>
      <c r="B3012" t="str">
        <f>"96190075      "</f>
        <v xml:space="preserve">96190075      </v>
      </c>
      <c r="C3012" t="s">
        <v>4136</v>
      </c>
      <c r="D3012" t="s">
        <v>4136</v>
      </c>
      <c r="E3012" t="s">
        <v>9272</v>
      </c>
      <c r="F3012" t="s">
        <v>9273</v>
      </c>
    </row>
    <row r="3013" spans="1:6" x14ac:dyDescent="0.25">
      <c r="A3013" t="s">
        <v>1677</v>
      </c>
      <c r="B3013" t="str">
        <f>"96190079      "</f>
        <v xml:space="preserve">96190079      </v>
      </c>
      <c r="C3013" t="s">
        <v>6775</v>
      </c>
      <c r="D3013" t="s">
        <v>6775</v>
      </c>
      <c r="E3013" t="s">
        <v>9274</v>
      </c>
      <c r="F3013" t="s">
        <v>9275</v>
      </c>
    </row>
    <row r="3014" spans="1:6" x14ac:dyDescent="0.25">
      <c r="A3014" t="s">
        <v>1677</v>
      </c>
      <c r="B3014" t="str">
        <f>"96190081      "</f>
        <v xml:space="preserve">96190081      </v>
      </c>
      <c r="C3014" t="s">
        <v>9276</v>
      </c>
      <c r="D3014" t="s">
        <v>9276</v>
      </c>
      <c r="E3014" t="s">
        <v>9277</v>
      </c>
      <c r="F3014" t="s">
        <v>9278</v>
      </c>
    </row>
    <row r="3015" spans="1:6" x14ac:dyDescent="0.25">
      <c r="A3015" t="s">
        <v>1677</v>
      </c>
      <c r="B3015" t="str">
        <f>"96190089      "</f>
        <v xml:space="preserve">96190089      </v>
      </c>
      <c r="C3015" t="s">
        <v>9279</v>
      </c>
      <c r="D3015" t="s">
        <v>9279</v>
      </c>
      <c r="E3015" t="s">
        <v>9280</v>
      </c>
      <c r="F3015" t="s">
        <v>9281</v>
      </c>
    </row>
    <row r="3016" spans="1:6" x14ac:dyDescent="0.25">
      <c r="A3016" t="s">
        <v>1677</v>
      </c>
      <c r="B3016" t="str">
        <f>"99190000      "</f>
        <v xml:space="preserve">99190000      </v>
      </c>
      <c r="C3016" t="s">
        <v>9282</v>
      </c>
      <c r="D3016" t="s">
        <v>9283</v>
      </c>
      <c r="E3016" t="s">
        <v>9284</v>
      </c>
      <c r="F3016" t="s">
        <v>9285</v>
      </c>
    </row>
    <row r="3017" spans="1:6" x14ac:dyDescent="0.25">
      <c r="A3017" t="s">
        <v>1677</v>
      </c>
      <c r="B3017" t="str">
        <f>"99302400      "</f>
        <v xml:space="preserve">99302400      </v>
      </c>
      <c r="C3017" t="s">
        <v>9286</v>
      </c>
      <c r="D3017" t="s">
        <v>9286</v>
      </c>
      <c r="E3017" t="s">
        <v>9287</v>
      </c>
      <c r="F3017" t="s">
        <v>9288</v>
      </c>
    </row>
    <row r="3018" spans="1:6" x14ac:dyDescent="0.25">
      <c r="A3018" t="s">
        <v>1677</v>
      </c>
      <c r="B3018" t="str">
        <f>"99302700      "</f>
        <v xml:space="preserve">99302700      </v>
      </c>
      <c r="C3018" t="s">
        <v>9289</v>
      </c>
      <c r="D3018" t="s">
        <v>9289</v>
      </c>
      <c r="E3018" t="s">
        <v>9290</v>
      </c>
      <c r="F3018" t="s">
        <v>9291</v>
      </c>
    </row>
    <row r="3019" spans="1:6" x14ac:dyDescent="0.25">
      <c r="A3019" t="s">
        <v>1677</v>
      </c>
      <c r="B3019" t="str">
        <f>"99309900      "</f>
        <v xml:space="preserve">99309900      </v>
      </c>
      <c r="C3019" t="s">
        <v>9292</v>
      </c>
      <c r="D3019" t="s">
        <v>9292</v>
      </c>
      <c r="E3019" t="s">
        <v>9293</v>
      </c>
      <c r="F3019" t="s">
        <v>9294</v>
      </c>
    </row>
    <row r="3020" spans="1:6" x14ac:dyDescent="0.25">
      <c r="A3020" t="s">
        <v>1677</v>
      </c>
      <c r="B3020" t="str">
        <f>"99312400      "</f>
        <v xml:space="preserve">99312400      </v>
      </c>
      <c r="C3020" t="s">
        <v>9286</v>
      </c>
      <c r="D3020" t="s">
        <v>9286</v>
      </c>
      <c r="E3020" t="s">
        <v>9295</v>
      </c>
      <c r="F3020" t="s">
        <v>9296</v>
      </c>
    </row>
    <row r="3021" spans="1:6" x14ac:dyDescent="0.25">
      <c r="A3021" t="s">
        <v>1677</v>
      </c>
      <c r="B3021" t="str">
        <f>"99312700      "</f>
        <v xml:space="preserve">99312700      </v>
      </c>
      <c r="C3021" t="s">
        <v>9289</v>
      </c>
      <c r="D3021" t="s">
        <v>9289</v>
      </c>
      <c r="E3021" t="s">
        <v>9297</v>
      </c>
      <c r="F3021" t="s">
        <v>9298</v>
      </c>
    </row>
    <row r="3022" spans="1:6" x14ac:dyDescent="0.25">
      <c r="A3022" t="s">
        <v>1677</v>
      </c>
      <c r="B3022" t="str">
        <f>"99319900      "</f>
        <v xml:space="preserve">99319900      </v>
      </c>
      <c r="C3022" t="s">
        <v>9292</v>
      </c>
      <c r="D3022" t="s">
        <v>9292</v>
      </c>
      <c r="E3022" t="s">
        <v>9299</v>
      </c>
      <c r="F3022" t="s">
        <v>9300</v>
      </c>
    </row>
    <row r="3023" spans="1:6" x14ac:dyDescent="0.25">
      <c r="A3023" t="s">
        <v>1677</v>
      </c>
      <c r="B3023" t="str">
        <f>"99500000      "</f>
        <v xml:space="preserve">99500000      </v>
      </c>
      <c r="C3023" t="s">
        <v>9301</v>
      </c>
      <c r="D3023" t="s">
        <v>9301</v>
      </c>
      <c r="E3023" t="s">
        <v>9302</v>
      </c>
      <c r="F3023" t="s">
        <v>9303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B1" sqref="B1:E65536"/>
    </sheetView>
  </sheetViews>
  <sheetFormatPr defaultRowHeight="15" x14ac:dyDescent="0.25"/>
  <cols>
    <col min="1" max="1" width="7.85546875" bestFit="1" customWidth="1"/>
    <col min="2" max="2" width="13.85546875" style="2" bestFit="1" customWidth="1"/>
    <col min="3" max="3" width="12.28515625" style="2" bestFit="1" customWidth="1"/>
    <col min="4" max="4" width="11.42578125" style="2" bestFit="1" customWidth="1"/>
    <col min="5" max="5" width="26.7109375" style="2" bestFit="1" customWidth="1"/>
  </cols>
  <sheetData>
    <row r="1" spans="1:5" x14ac:dyDescent="0.25">
      <c r="A1" s="1" t="s">
        <v>0</v>
      </c>
      <c r="B1" s="2" t="s">
        <v>9309</v>
      </c>
      <c r="C1" s="2" t="s">
        <v>9310</v>
      </c>
      <c r="D1" s="2" t="s">
        <v>9311</v>
      </c>
      <c r="E1" s="2" t="s">
        <v>9312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 sqref="B1:B65536"/>
    </sheetView>
  </sheetViews>
  <sheetFormatPr defaultRowHeight="15" x14ac:dyDescent="0.25"/>
  <cols>
    <col min="1" max="1" width="12.5703125" bestFit="1" customWidth="1"/>
    <col min="2" max="2" width="44.140625" style="2" bestFit="1" customWidth="1"/>
  </cols>
  <sheetData>
    <row r="1" spans="1:2" x14ac:dyDescent="0.25">
      <c r="A1" s="1" t="s">
        <v>9313</v>
      </c>
      <c r="B1" s="2" t="s">
        <v>9314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activeCell="B1" sqref="B1:K65536"/>
    </sheetView>
  </sheetViews>
  <sheetFormatPr defaultRowHeight="15" x14ac:dyDescent="0.25"/>
  <cols>
    <col min="1" max="1" width="8.140625" bestFit="1" customWidth="1"/>
    <col min="2" max="2" width="13.85546875" style="2" bestFit="1" customWidth="1"/>
    <col min="3" max="4" width="12.28515625" style="2" bestFit="1" customWidth="1"/>
    <col min="5" max="5" width="11.5703125" style="2" bestFit="1" customWidth="1"/>
    <col min="6" max="6" width="14" style="2" bestFit="1" customWidth="1"/>
    <col min="7" max="7" width="13.28515625" style="2" bestFit="1" customWidth="1"/>
    <col min="8" max="8" width="15.140625" style="2" bestFit="1" customWidth="1"/>
    <col min="9" max="9" width="14.42578125" style="2" bestFit="1" customWidth="1"/>
    <col min="10" max="10" width="11.140625" style="2" bestFit="1" customWidth="1"/>
    <col min="11" max="11" width="10.42578125" style="2" bestFit="1" customWidth="1"/>
  </cols>
  <sheetData>
    <row r="1" spans="1:11" x14ac:dyDescent="0.25">
      <c r="A1" s="1" t="s">
        <v>9315</v>
      </c>
      <c r="B1" s="2" t="s">
        <v>9309</v>
      </c>
      <c r="C1" s="2" t="s">
        <v>9310</v>
      </c>
      <c r="D1" s="2" t="s">
        <v>9316</v>
      </c>
      <c r="E1" s="2" t="s">
        <v>9317</v>
      </c>
      <c r="F1" s="2" t="s">
        <v>9318</v>
      </c>
      <c r="G1" s="2" t="s">
        <v>9319</v>
      </c>
      <c r="H1" s="2" t="s">
        <v>9320</v>
      </c>
      <c r="I1" s="2" t="s">
        <v>9321</v>
      </c>
      <c r="J1" s="2" t="s">
        <v>9322</v>
      </c>
      <c r="K1" s="2" t="s">
        <v>9323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B1" sqref="B1:E65536"/>
    </sheetView>
  </sheetViews>
  <sheetFormatPr defaultRowHeight="15" x14ac:dyDescent="0.25"/>
  <cols>
    <col min="1" max="1" width="7.85546875" bestFit="1" customWidth="1"/>
    <col min="2" max="2" width="6.28515625" style="2" bestFit="1" customWidth="1"/>
    <col min="3" max="3" width="9.85546875" style="2" bestFit="1" customWidth="1"/>
    <col min="4" max="4" width="12.28515625" style="2" bestFit="1" customWidth="1"/>
    <col min="5" max="5" width="9.85546875" style="2" bestFit="1" customWidth="1"/>
  </cols>
  <sheetData>
    <row r="1" spans="1:5" x14ac:dyDescent="0.25">
      <c r="A1" s="1" t="s">
        <v>0</v>
      </c>
      <c r="B1" s="2" t="s">
        <v>9324</v>
      </c>
      <c r="C1" s="2" t="s">
        <v>9325</v>
      </c>
      <c r="D1" s="2" t="s">
        <v>9310</v>
      </c>
      <c r="E1" s="2" t="s">
        <v>9326</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B1" sqref="B1:C65536"/>
    </sheetView>
  </sheetViews>
  <sheetFormatPr defaultRowHeight="15" x14ac:dyDescent="0.25"/>
  <cols>
    <col min="1" max="1" width="5.28515625" bestFit="1" customWidth="1"/>
    <col min="2" max="2" width="18" style="2" bestFit="1" customWidth="1"/>
    <col min="3" max="3" width="20.7109375" style="2" bestFit="1" customWidth="1"/>
  </cols>
  <sheetData>
    <row r="1" spans="1:3" x14ac:dyDescent="0.25">
      <c r="A1" s="1" t="s">
        <v>9327</v>
      </c>
      <c r="B1" s="2" t="s">
        <v>9328</v>
      </c>
      <c r="C1" s="2" t="s">
        <v>9329</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HS Changes Summary</vt:lpstr>
      <vt:lpstr>HS Changes Detail</vt:lpstr>
      <vt:lpstr>HS Description Change Summary</vt:lpstr>
      <vt:lpstr>HS Description Change Detail</vt:lpstr>
      <vt:lpstr>New Trade Agreements</vt:lpstr>
      <vt:lpstr>Duty Summary by HTS6</vt:lpstr>
      <vt:lpstr>Duty Changes Detail</vt:lpstr>
      <vt:lpstr>Tax Changes</vt:lpstr>
      <vt:lpstr>Applied Tax Summary by HS6</vt:lpstr>
      <vt:lpstr>Applied Tax Changes Detail</vt:lpstr>
      <vt:lpstr>UOM Changes</vt:lpstr>
    </vt:vector>
  </TitlesOfParts>
  <Company>DSG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a-Shane Kemp</dc:creator>
  <cp:lastModifiedBy>a-Shane Kemp</cp:lastModifiedBy>
  <dcterms:created xsi:type="dcterms:W3CDTF">2021-12-01T22:03:57Z</dcterms:created>
  <dcterms:modified xsi:type="dcterms:W3CDTF">2021-12-01T22:04:11Z</dcterms:modified>
</cp:coreProperties>
</file>